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<sst xmlns="http://schemas.openxmlformats.org/spreadsheetml/2006/main" count="300" uniqueCount="86">
  <si>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</si>
  <si>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</si>
  <si>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</si>
  <si>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</si>
  <si>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</si>
  <si>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</si>
  <si>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</si>
  <si>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</si>
  <si>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</si>
  <si>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</si>
  <si>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</si>
  <si>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</si>
  <si>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</si>
  <si>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</si>
  <si>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</si>
  <si>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</si>
  <si>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</si>
  <si>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</si>
  <si>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</si>
  <si>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</si>
  <si>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</si>
  <si>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</si>
  <si>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</si>
  <si>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</si>
  <si>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</si>
  <si>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</si>
  <si>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</si>
  <si>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</si>
  <si>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</si>
  <si>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</si>
  <si>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</si>
  <si>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</si>
  <si>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</si>
  <si>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</si>
  <si>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</si>
  <si>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</si>
  <si>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</si>
  <si>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</si>
  <si>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</si>
  <si>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</si>
  <si>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</si>
  <si>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</si>
  <si>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</si>
  <si>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</si>
  <si>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</si>
  <si>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</si>
  <si>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</si>
  <si>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</si>
  <si>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 xml:space="preserve">1 060 208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Възстановени средства на 19.03.2018г.  377 446.10 лв./</t>
    </r>
  </si>
  <si>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</si>
  <si>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</si>
  <si>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</si>
  <si>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</si>
  <si>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</si>
  <si>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</si>
  <si>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</si>
  <si>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</si>
  <si>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</si>
  <si>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</si>
  <si>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</si>
  <si>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</si>
  <si>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</si>
  <si>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</si>
  <si>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</si>
  <si>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</si>
  <si>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</si>
  <si>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</si>
  <si>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</si>
  <si>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</si>
  <si>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</si>
  <si>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</si>
  <si>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</si>
  <si>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</si>
  <si>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</si>
  <si>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</si>
  <si>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 xml:space="preserve">3. Платената лихва от община Доспат в размер на 17 072,38 лв. е съгласно погасителни планове и включва: лихва по АУПДВ №4/14.09.2016г. в размер на  4 287,12 лв.,  лихва за просрочие в размер на 8 612,22 лв. и 4 173,04 лв. лихви по втори погасителен план, като лихвите са общо по чл. 60 и чл. 64 от ЗУО. </t>
  </si>
  <si>
    <t>2. От края на м. Март 2017 г. Община Сърница започва да депонира отпадъци на Регионално депо за неопасни отпадъци с. Барутин, общ. Доспат.</t>
  </si>
  <si>
    <t>2017 г.</t>
  </si>
  <si>
    <t>2019 г.</t>
  </si>
  <si>
    <t>2016 г.                   /м.01-м.09.2016 г./</t>
  </si>
  <si>
    <t>м.03-м.12.2017 г.</t>
  </si>
  <si>
    <t>м.01-06.2020 г.</t>
  </si>
  <si>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</si>
  <si>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r>
      <rPr>
        <b/>
        <sz val="9"/>
        <rFont val="Times New Roman"/>
        <family val="1"/>
      </rPr>
      <t xml:space="preserve">         1 345 095,64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Възстановени суми по ОПОС след верификация: 3 014 999,19 лв. /214 612,31 лв.-11.01.2019; 36 960 лв. - 11.09.2019;       163 637,52 лв. - 13.02.2019;    48 568,18 лв. - 26.03.2019г.;   10 000 лв. - 17.04.2019г.;                20 000 лв. - 19.04.2019г.;     8 120 лв. - 24.04.2019г.; 698 696,59 лв. на 12.07.2019 г.; 990 000 лв. на 11.02.2020 г. ; 824 404,59 лв. на 16.06.2020 г. /</t>
    </r>
  </si>
  <si>
    <t>Регионално депо за неопасни отпадъци на общините  Доспат, Девин, Борино, Сатовчаи Сърница /Клетка №1</t>
  </si>
  <si>
    <t>6. Данните за постъпилити средства са към 13.07.2020 г.</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</si>
</sst>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6">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0"/>
      <color indexed="10"/>
      <name val="Arial"/>
      <family val="2"/>
    </font>
    <font>
      <sz val="11"/>
      <color indexed="8"/>
      <name val="Times New Roman"/>
      <family val="1"/>
    </font>
    <font>
      <b/>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
      <b/>
      <sz val="9"/>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style="medium"/>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medium"/>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7">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8" fontId="5" fillId="36" borderId="0" xfId="0" applyNumberFormat="1" applyFont="1" applyFill="1" applyAlignment="1">
      <alignment/>
    </xf>
    <xf numFmtId="0" fontId="5" fillId="36" borderId="0" xfId="0" applyFont="1" applyFill="1" applyAlignment="1">
      <alignment/>
    </xf>
    <xf numFmtId="0" fontId="50" fillId="0" borderId="10" xfId="0" applyFont="1" applyBorder="1" applyAlignment="1">
      <alignment/>
    </xf>
    <xf numFmtId="0" fontId="51" fillId="0" borderId="0" xfId="0" applyFont="1" applyAlignment="1">
      <alignment/>
    </xf>
    <xf numFmtId="0" fontId="50" fillId="0" borderId="11" xfId="0" applyFont="1" applyBorder="1" applyAlignment="1">
      <alignment horizontal="center" vertical="center" wrapText="1"/>
    </xf>
    <xf numFmtId="0" fontId="51" fillId="0" borderId="0" xfId="0" applyFont="1" applyFill="1" applyAlignment="1">
      <alignment/>
    </xf>
    <xf numFmtId="0" fontId="51" fillId="0" borderId="12" xfId="0" applyFont="1" applyBorder="1" applyAlignment="1">
      <alignment/>
    </xf>
    <xf numFmtId="0" fontId="0" fillId="0" borderId="0" xfId="0" applyFont="1" applyAlignment="1">
      <alignment/>
    </xf>
    <xf numFmtId="0" fontId="6" fillId="0" borderId="13"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2" fillId="0" borderId="10" xfId="0" applyFont="1" applyFill="1" applyBorder="1" applyAlignment="1">
      <alignment vertical="center"/>
    </xf>
    <xf numFmtId="174" fontId="7" fillId="0" borderId="10" xfId="0" applyNumberFormat="1" applyFont="1" applyBorder="1" applyAlignment="1">
      <alignment vertical="center" wrapText="1"/>
    </xf>
    <xf numFmtId="4" fontId="52" fillId="0" borderId="10" xfId="0" applyNumberFormat="1" applyFont="1" applyBorder="1" applyAlignment="1">
      <alignment/>
    </xf>
    <xf numFmtId="0" fontId="7" fillId="0" borderId="13" xfId="0" applyFont="1" applyBorder="1" applyAlignment="1">
      <alignment horizontal="center" vertical="center" wrapText="1"/>
    </xf>
    <xf numFmtId="174" fontId="7" fillId="36" borderId="10" xfId="0" applyNumberFormat="1" applyFont="1" applyFill="1" applyBorder="1" applyAlignment="1">
      <alignment horizontal="right" vertical="center"/>
    </xf>
    <xf numFmtId="174" fontId="53" fillId="0" borderId="10" xfId="0" applyNumberFormat="1" applyFont="1" applyBorder="1" applyAlignment="1">
      <alignment vertical="center" wrapText="1"/>
    </xf>
    <xf numFmtId="0" fontId="6" fillId="0" borderId="14"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5"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1" xfId="0" applyFont="1" applyFill="1" applyBorder="1" applyAlignment="1">
      <alignment horizontal="left" vertical="center"/>
    </xf>
    <xf numFmtId="4" fontId="7" fillId="0" borderId="14" xfId="0" applyNumberFormat="1" applyFont="1" applyFill="1" applyBorder="1" applyAlignment="1">
      <alignment horizontal="right" vertical="center"/>
    </xf>
    <xf numFmtId="174" fontId="52" fillId="0" borderId="10" xfId="0" applyNumberFormat="1" applyFont="1" applyFill="1" applyBorder="1" applyAlignment="1">
      <alignment/>
    </xf>
    <xf numFmtId="4" fontId="52" fillId="0" borderId="10" xfId="0" applyNumberFormat="1" applyFont="1" applyFill="1" applyBorder="1" applyAlignment="1">
      <alignment/>
    </xf>
    <xf numFmtId="4" fontId="7" fillId="0" borderId="10" xfId="0" applyNumberFormat="1" applyFont="1" applyFill="1" applyBorder="1" applyAlignment="1">
      <alignment/>
    </xf>
    <xf numFmtId="0" fontId="7" fillId="0" borderId="16" xfId="0" applyFont="1" applyFill="1" applyBorder="1" applyAlignment="1">
      <alignment horizontal="left" vertical="center"/>
    </xf>
    <xf numFmtId="0" fontId="7" fillId="0" borderId="13" xfId="0" applyFont="1" applyBorder="1" applyAlignment="1">
      <alignment horizontal="left" vertical="center"/>
    </xf>
    <xf numFmtId="4" fontId="7" fillId="0" borderId="14" xfId="0" applyNumberFormat="1" applyFont="1" applyBorder="1" applyAlignment="1">
      <alignment horizontal="right" vertical="center"/>
    </xf>
    <xf numFmtId="0" fontId="52" fillId="0" borderId="10" xfId="0" applyFont="1" applyFill="1" applyBorder="1" applyAlignment="1">
      <alignment/>
    </xf>
    <xf numFmtId="0" fontId="7" fillId="0" borderId="17" xfId="0" applyFont="1" applyBorder="1" applyAlignment="1">
      <alignment horizontal="left" vertical="center"/>
    </xf>
    <xf numFmtId="0" fontId="7" fillId="0" borderId="18" xfId="0" applyFont="1" applyBorder="1" applyAlignment="1">
      <alignment horizontal="left" vertical="center"/>
    </xf>
    <xf numFmtId="174" fontId="53"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3" fillId="0" borderId="10" xfId="0" applyFont="1" applyFill="1" applyBorder="1" applyAlignment="1">
      <alignment horizontal="center" vertical="center" wrapText="1"/>
    </xf>
    <xf numFmtId="0" fontId="7" fillId="0" borderId="10" xfId="0" applyFont="1" applyFill="1" applyBorder="1" applyAlignment="1">
      <alignment/>
    </xf>
    <xf numFmtId="0" fontId="52" fillId="0" borderId="11" xfId="0" applyFont="1" applyFill="1" applyBorder="1" applyAlignment="1">
      <alignment vertical="center"/>
    </xf>
    <xf numFmtId="0" fontId="52"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3"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2"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3" fillId="0" borderId="10" xfId="0" applyNumberFormat="1" applyFont="1" applyFill="1" applyBorder="1" applyAlignment="1">
      <alignment wrapText="1"/>
    </xf>
    <xf numFmtId="0" fontId="6" fillId="35" borderId="13" xfId="0" applyFont="1" applyFill="1" applyBorder="1" applyAlignment="1">
      <alignment horizontal="center" vertical="center"/>
    </xf>
    <xf numFmtId="0" fontId="7" fillId="0" borderId="14" xfId="0" applyFont="1" applyFill="1" applyBorder="1" applyAlignment="1">
      <alignment horizontal="center" vertical="center" wrapText="1"/>
    </xf>
    <xf numFmtId="4" fontId="7" fillId="0" borderId="10" xfId="0" applyNumberFormat="1" applyFont="1" applyFill="1" applyBorder="1" applyAlignment="1">
      <alignment vertical="center"/>
    </xf>
    <xf numFmtId="174" fontId="7" fillId="0" borderId="19" xfId="0" applyNumberFormat="1" applyFont="1" applyFill="1" applyBorder="1" applyAlignment="1">
      <alignment horizontal="center" vertical="center"/>
    </xf>
    <xf numFmtId="174" fontId="52" fillId="0" borderId="10" xfId="0" applyNumberFormat="1" applyFont="1" applyFill="1" applyBorder="1" applyAlignment="1">
      <alignment vertical="center"/>
    </xf>
    <xf numFmtId="4" fontId="52"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0" fontId="7" fillId="0" borderId="14" xfId="0" applyFont="1" applyBorder="1" applyAlignment="1">
      <alignment horizontal="center" vertical="center" wrapText="1"/>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74" fontId="7" fillId="0" borderId="11" xfId="0" applyNumberFormat="1" applyFont="1" applyFill="1" applyBorder="1" applyAlignment="1">
      <alignment horizontal="center" vertical="center"/>
    </xf>
    <xf numFmtId="4" fontId="53" fillId="0" borderId="10" xfId="0" applyNumberFormat="1" applyFont="1" applyFill="1" applyBorder="1" applyAlignment="1">
      <alignment vertical="center" wrapText="1"/>
    </xf>
    <xf numFmtId="0" fontId="6" fillId="0" borderId="14" xfId="0" applyFont="1" applyBorder="1" applyAlignment="1">
      <alignment horizontal="center"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7" fillId="0" borderId="13" xfId="0" applyFont="1" applyFill="1" applyBorder="1" applyAlignment="1">
      <alignment horizontal="left" vertical="center"/>
    </xf>
    <xf numFmtId="4" fontId="7" fillId="0" borderId="13" xfId="0" applyNumberFormat="1" applyFont="1" applyFill="1" applyBorder="1" applyAlignment="1">
      <alignment vertical="center"/>
    </xf>
    <xf numFmtId="174" fontId="7" fillId="0" borderId="16" xfId="0" applyNumberFormat="1" applyFont="1" applyFill="1" applyBorder="1" applyAlignment="1">
      <alignment horizontal="center" vertical="center"/>
    </xf>
    <xf numFmtId="174" fontId="7" fillId="0" borderId="13" xfId="0" applyNumberFormat="1" applyFont="1" applyFill="1" applyBorder="1" applyAlignment="1">
      <alignment vertical="center"/>
    </xf>
    <xf numFmtId="0" fontId="52" fillId="0" borderId="13" xfId="0" applyFont="1" applyFill="1" applyBorder="1" applyAlignment="1">
      <alignment/>
    </xf>
    <xf numFmtId="4" fontId="53" fillId="0" borderId="13" xfId="0" applyNumberFormat="1" applyFont="1" applyFill="1" applyBorder="1" applyAlignment="1">
      <alignment vertical="center" wrapText="1"/>
    </xf>
    <xf numFmtId="4" fontId="7" fillId="0" borderId="13" xfId="0" applyNumberFormat="1" applyFont="1" applyBorder="1" applyAlignment="1">
      <alignment/>
    </xf>
    <xf numFmtId="0" fontId="53" fillId="0" borderId="0" xfId="0" applyFont="1" applyBorder="1" applyAlignment="1">
      <alignment horizontal="center" vertical="center"/>
    </xf>
    <xf numFmtId="4" fontId="52" fillId="0" borderId="0" xfId="0" applyNumberFormat="1" applyFont="1" applyFill="1" applyBorder="1" applyAlignment="1">
      <alignment vertical="center"/>
    </xf>
    <xf numFmtId="174" fontId="52" fillId="0" borderId="0" xfId="0" applyNumberFormat="1" applyFont="1" applyFill="1" applyBorder="1" applyAlignment="1">
      <alignment horizontal="center" vertical="center"/>
    </xf>
    <xf numFmtId="174" fontId="52" fillId="0" borderId="0" xfId="0" applyNumberFormat="1" applyFont="1" applyFill="1" applyBorder="1" applyAlignment="1">
      <alignment vertical="center"/>
    </xf>
    <xf numFmtId="0" fontId="52" fillId="0" borderId="0" xfId="0" applyFont="1" applyFill="1" applyBorder="1" applyAlignment="1">
      <alignment/>
    </xf>
    <xf numFmtId="4" fontId="53" fillId="0" borderId="0" xfId="0" applyNumberFormat="1" applyFont="1" applyFill="1" applyBorder="1" applyAlignment="1">
      <alignment vertical="center" wrapText="1"/>
    </xf>
    <xf numFmtId="4" fontId="7" fillId="0" borderId="0" xfId="0" applyNumberFormat="1" applyFont="1" applyBorder="1" applyAlignment="1">
      <alignment/>
    </xf>
    <xf numFmtId="0" fontId="53" fillId="0" borderId="0" xfId="0" applyFont="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xf>
    <xf numFmtId="0" fontId="53" fillId="0" borderId="0" xfId="0" applyFont="1" applyBorder="1" applyAlignment="1">
      <alignment horizontal="center" vertical="justify" wrapText="1"/>
    </xf>
    <xf numFmtId="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xf>
    <xf numFmtId="0" fontId="52"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2" fillId="0" borderId="0" xfId="0" applyFont="1" applyAlignment="1">
      <alignment/>
    </xf>
    <xf numFmtId="0" fontId="7" fillId="0" borderId="0" xfId="0" applyFont="1" applyAlignment="1">
      <alignment/>
    </xf>
    <xf numFmtId="0" fontId="52" fillId="0" borderId="0" xfId="0" applyFont="1" applyFill="1" applyAlignment="1">
      <alignment wrapText="1"/>
    </xf>
    <xf numFmtId="174" fontId="52" fillId="0" borderId="0" xfId="0" applyNumberFormat="1" applyFont="1" applyAlignment="1">
      <alignment/>
    </xf>
    <xf numFmtId="0" fontId="52" fillId="0" borderId="0" xfId="0" applyFont="1" applyAlignment="1">
      <alignment vertical="center" wrapText="1"/>
    </xf>
    <xf numFmtId="0" fontId="54" fillId="0" borderId="10" xfId="0" applyFont="1" applyFill="1" applyBorder="1" applyAlignment="1">
      <alignment vertical="center" wrapText="1"/>
    </xf>
    <xf numFmtId="0" fontId="7" fillId="0" borderId="10" xfId="0" applyFont="1" applyFill="1" applyBorder="1" applyAlignment="1">
      <alignment vertical="center" wrapText="1"/>
    </xf>
    <xf numFmtId="174" fontId="7" fillId="0" borderId="20" xfId="0" applyNumberFormat="1" applyFont="1" applyFill="1" applyBorder="1" applyAlignment="1">
      <alignment vertical="center"/>
    </xf>
    <xf numFmtId="174" fontId="7" fillId="0" borderId="0" xfId="0" applyNumberFormat="1" applyFont="1" applyFill="1" applyBorder="1" applyAlignment="1">
      <alignment vertical="center"/>
    </xf>
    <xf numFmtId="174" fontId="7" fillId="0" borderId="13" xfId="0" applyNumberFormat="1" applyFont="1" applyFill="1" applyBorder="1" applyAlignment="1">
      <alignment horizontal="center" vertical="center"/>
    </xf>
    <xf numFmtId="0" fontId="7" fillId="0" borderId="14" xfId="0" applyFont="1" applyBorder="1" applyAlignment="1">
      <alignment horizontal="left" vertical="center"/>
    </xf>
    <xf numFmtId="174" fontId="7" fillId="0" borderId="21" xfId="0" applyNumberFormat="1" applyFont="1" applyFill="1" applyBorder="1" applyAlignment="1">
      <alignment vertical="center"/>
    </xf>
    <xf numFmtId="174" fontId="7" fillId="0" borderId="22" xfId="0" applyNumberFormat="1" applyFont="1" applyFill="1" applyBorder="1" applyAlignment="1">
      <alignment vertical="center"/>
    </xf>
    <xf numFmtId="174" fontId="7" fillId="0" borderId="23" xfId="0" applyNumberFormat="1" applyFont="1" applyFill="1" applyBorder="1" applyAlignment="1">
      <alignment vertical="center"/>
    </xf>
    <xf numFmtId="0" fontId="52" fillId="0" borderId="18" xfId="0" applyFont="1" applyFill="1" applyBorder="1" applyAlignment="1">
      <alignment/>
    </xf>
    <xf numFmtId="4" fontId="52" fillId="0" borderId="24" xfId="0" applyNumberFormat="1" applyFont="1" applyBorder="1" applyAlignment="1">
      <alignment/>
    </xf>
    <xf numFmtId="0" fontId="7" fillId="0" borderId="25" xfId="0" applyFont="1" applyFill="1" applyBorder="1" applyAlignment="1">
      <alignment horizontal="left" vertical="center"/>
    </xf>
    <xf numFmtId="0" fontId="7" fillId="0" borderId="25" xfId="0" applyFont="1" applyFill="1" applyBorder="1" applyAlignment="1">
      <alignment horizontal="center" vertical="center" wrapText="1"/>
    </xf>
    <xf numFmtId="0" fontId="6" fillId="0" borderId="10" xfId="0" applyFont="1" applyFill="1" applyBorder="1" applyAlignment="1">
      <alignment horizontal="center" vertical="center" wrapText="1"/>
    </xf>
    <xf numFmtId="174" fontId="53" fillId="36" borderId="10" xfId="0" applyNumberFormat="1" applyFont="1" applyFill="1" applyBorder="1" applyAlignment="1">
      <alignment vertical="center" wrapText="1"/>
    </xf>
    <xf numFmtId="0" fontId="53" fillId="36" borderId="10" xfId="0" applyFont="1" applyFill="1" applyBorder="1" applyAlignment="1">
      <alignment horizontal="center" vertical="center" wrapText="1"/>
    </xf>
    <xf numFmtId="4" fontId="53" fillId="36" borderId="10" xfId="0" applyNumberFormat="1" applyFont="1" applyFill="1" applyBorder="1" applyAlignment="1">
      <alignment vertical="center" wrapText="1"/>
    </xf>
    <xf numFmtId="0" fontId="7" fillId="36" borderId="10" xfId="0" applyFont="1" applyFill="1" applyBorder="1" applyAlignment="1">
      <alignment horizontal="center" vertical="center"/>
    </xf>
    <xf numFmtId="0" fontId="52" fillId="0" borderId="14" xfId="0" applyFont="1" applyFill="1" applyBorder="1" applyAlignment="1">
      <alignment/>
    </xf>
    <xf numFmtId="0" fontId="51" fillId="0" borderId="20" xfId="0" applyFont="1" applyFill="1" applyBorder="1" applyAlignment="1">
      <alignment/>
    </xf>
    <xf numFmtId="0" fontId="51" fillId="0" borderId="0" xfId="0" applyFont="1" applyFill="1" applyBorder="1" applyAlignment="1">
      <alignment/>
    </xf>
    <xf numFmtId="0" fontId="53" fillId="0" borderId="11" xfId="0" applyFont="1" applyBorder="1" applyAlignment="1">
      <alignment horizontal="center" vertical="center"/>
    </xf>
    <xf numFmtId="0" fontId="51" fillId="0" borderId="26" xfId="0" applyFont="1" applyBorder="1" applyAlignment="1">
      <alignment/>
    </xf>
    <xf numFmtId="0" fontId="3" fillId="35" borderId="13" xfId="0" applyFont="1" applyFill="1" applyBorder="1" applyAlignment="1">
      <alignment/>
    </xf>
    <xf numFmtId="0" fontId="3" fillId="0" borderId="16" xfId="0" applyFont="1" applyBorder="1" applyAlignment="1">
      <alignment horizontal="center" vertical="center" wrapText="1"/>
    </xf>
    <xf numFmtId="0" fontId="50" fillId="0" borderId="16" xfId="0" applyFont="1" applyBorder="1" applyAlignment="1">
      <alignment horizontal="center" vertical="center" wrapText="1"/>
    </xf>
    <xf numFmtId="0" fontId="4" fillId="0" borderId="11" xfId="0" applyFont="1" applyFill="1" applyBorder="1" applyAlignment="1">
      <alignment vertical="center" wrapText="1"/>
    </xf>
    <xf numFmtId="0" fontId="55" fillId="0" borderId="16" xfId="0" applyFont="1" applyFill="1" applyBorder="1" applyAlignment="1">
      <alignment vertical="center" wrapText="1"/>
    </xf>
    <xf numFmtId="4" fontId="7" fillId="36" borderId="10" xfId="0" applyNumberFormat="1" applyFont="1" applyFill="1" applyBorder="1" applyAlignment="1">
      <alignment vertical="center"/>
    </xf>
    <xf numFmtId="174" fontId="7" fillId="36" borderId="11" xfId="0" applyNumberFormat="1" applyFont="1" applyFill="1" applyBorder="1" applyAlignment="1">
      <alignment horizontal="center" vertical="center"/>
    </xf>
    <xf numFmtId="174" fontId="7" fillId="36" borderId="10" xfId="0" applyNumberFormat="1" applyFont="1" applyFill="1" applyBorder="1" applyAlignment="1">
      <alignment horizontal="center" vertical="center"/>
    </xf>
    <xf numFmtId="174" fontId="7" fillId="36" borderId="15" xfId="0" applyNumberFormat="1" applyFont="1" applyFill="1" applyBorder="1" applyAlignment="1">
      <alignment vertical="center"/>
    </xf>
    <xf numFmtId="0" fontId="52" fillId="36" borderId="10" xfId="0" applyFont="1" applyFill="1" applyBorder="1" applyAlignment="1">
      <alignment/>
    </xf>
    <xf numFmtId="0" fontId="7" fillId="36" borderId="0" xfId="0" applyFont="1" applyFill="1" applyAlignment="1">
      <alignment wrapText="1"/>
    </xf>
    <xf numFmtId="0" fontId="7" fillId="0" borderId="0" xfId="0" applyFont="1" applyFill="1" applyAlignment="1">
      <alignment wrapText="1"/>
    </xf>
    <xf numFmtId="0" fontId="6" fillId="0" borderId="10" xfId="0" applyFont="1" applyBorder="1" applyAlignment="1">
      <alignment horizontal="center" vertical="center"/>
    </xf>
    <xf numFmtId="0" fontId="6" fillId="0" borderId="16" xfId="0" applyFont="1" applyBorder="1" applyAlignment="1">
      <alignment horizontal="center" vertical="justify" wrapText="1"/>
    </xf>
    <xf numFmtId="0" fontId="6" fillId="0" borderId="11" xfId="0" applyFont="1" applyBorder="1" applyAlignment="1">
      <alignment horizontal="center" vertical="justify" wrapText="1"/>
    </xf>
    <xf numFmtId="0" fontId="6" fillId="0" borderId="27" xfId="0" applyFont="1" applyBorder="1" applyAlignment="1">
      <alignment vertical="center" wrapText="1"/>
    </xf>
    <xf numFmtId="0" fontId="6" fillId="0" borderId="16" xfId="0" applyFont="1" applyBorder="1" applyAlignment="1">
      <alignment vertical="center" wrapText="1"/>
    </xf>
    <xf numFmtId="0" fontId="6" fillId="0" borderId="20" xfId="0" applyFont="1" applyBorder="1" applyAlignment="1">
      <alignment vertical="center" wrapText="1"/>
    </xf>
    <xf numFmtId="0" fontId="6" fillId="0" borderId="28" xfId="0" applyFont="1" applyBorder="1" applyAlignment="1">
      <alignment vertical="center" wrapText="1"/>
    </xf>
    <xf numFmtId="0" fontId="6" fillId="0" borderId="13" xfId="0" applyFont="1" applyBorder="1" applyAlignment="1">
      <alignment vertical="center" wrapText="1"/>
    </xf>
    <xf numFmtId="0" fontId="2" fillId="35" borderId="28" xfId="0" applyFont="1" applyFill="1" applyBorder="1" applyAlignment="1">
      <alignment horizontal="center" wrapText="1"/>
    </xf>
    <xf numFmtId="0" fontId="2" fillId="35" borderId="29" xfId="0" applyFont="1" applyFill="1" applyBorder="1" applyAlignment="1">
      <alignment horizontal="center" wrapText="1"/>
    </xf>
    <xf numFmtId="0" fontId="5" fillId="0" borderId="29" xfId="0" applyFont="1" applyBorder="1" applyAlignment="1">
      <alignment/>
    </xf>
    <xf numFmtId="0" fontId="2" fillId="38"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9" borderId="10" xfId="0" applyFont="1" applyFill="1" applyBorder="1" applyAlignment="1">
      <alignment horizontal="left" vertical="center" wrapText="1"/>
    </xf>
    <xf numFmtId="0" fontId="2" fillId="40"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2" fillId="42" borderId="10" xfId="0" applyFont="1" applyFill="1" applyBorder="1" applyAlignment="1">
      <alignment horizontal="left" vertical="center" wrapText="1"/>
    </xf>
    <xf numFmtId="0" fontId="2" fillId="43"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36" borderId="16" xfId="0" applyFont="1" applyFill="1" applyBorder="1" applyAlignment="1">
      <alignment vertical="center" wrapText="1"/>
    </xf>
    <xf numFmtId="0" fontId="4" fillId="36" borderId="16" xfId="0" applyFont="1" applyFill="1" applyBorder="1" applyAlignment="1">
      <alignment vertical="center" wrapText="1"/>
    </xf>
    <xf numFmtId="0" fontId="4" fillId="36" borderId="16"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0" borderId="13" xfId="0" applyFont="1" applyFill="1" applyBorder="1" applyAlignment="1">
      <alignmen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174" fontId="7" fillId="0" borderId="13"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Alignment="1">
      <alignment vertical="center" wrapText="1"/>
    </xf>
    <xf numFmtId="0" fontId="6" fillId="0" borderId="13" xfId="0" applyFont="1" applyBorder="1" applyAlignment="1">
      <alignment horizontal="center" vertical="justify" wrapText="1"/>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7" fillId="36" borderId="13" xfId="0" applyFont="1" applyFill="1" applyBorder="1" applyAlignment="1">
      <alignment horizontal="center" vertical="center"/>
    </xf>
    <xf numFmtId="0" fontId="7" fillId="36" borderId="11" xfId="0" applyFont="1" applyFill="1" applyBorder="1" applyAlignment="1">
      <alignment horizontal="center" vertical="center"/>
    </xf>
    <xf numFmtId="0" fontId="7"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2" fillId="33" borderId="10" xfId="0" applyFont="1" applyFill="1" applyBorder="1" applyAlignment="1">
      <alignment horizontal="left" wrapText="1"/>
    </xf>
    <xf numFmtId="0" fontId="6" fillId="0" borderId="13" xfId="0" applyFont="1" applyFill="1" applyBorder="1" applyAlignment="1">
      <alignment vertical="center"/>
    </xf>
    <xf numFmtId="0" fontId="6" fillId="0" borderId="16" xfId="0" applyFont="1" applyFill="1" applyBorder="1" applyAlignment="1">
      <alignment vertical="center"/>
    </xf>
    <xf numFmtId="0" fontId="6" fillId="0" borderId="11" xfId="0" applyFont="1" applyFill="1" applyBorder="1" applyAlignment="1">
      <alignmen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44"/>
  <sheetViews>
    <sheetView tabSelected="1" zoomScale="75" zoomScaleNormal="75" zoomScalePageLayoutView="0" workbookViewId="0" topLeftCell="A1">
      <pane ySplit="3" topLeftCell="A43" activePane="bottomLeft" state="frozen"/>
      <selection pane="topLeft" activeCell="A1" sqref="A1"/>
      <selection pane="bottomLeft" activeCell="J64" sqref="J64"/>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163" t="s">
        <v>44</v>
      </c>
      <c r="B1" s="164"/>
      <c r="C1" s="164"/>
      <c r="D1" s="164"/>
      <c r="E1" s="164"/>
      <c r="F1" s="164"/>
      <c r="G1" s="164"/>
      <c r="H1" s="164"/>
      <c r="I1" s="164"/>
      <c r="J1" s="164"/>
      <c r="K1" s="164"/>
      <c r="L1" s="164"/>
      <c r="M1" s="164"/>
      <c r="N1" s="164"/>
      <c r="O1" s="164"/>
      <c r="P1" s="164"/>
      <c r="Q1" s="165"/>
      <c r="R1" s="165"/>
      <c r="S1" s="165"/>
    </row>
    <row r="2" spans="1:19" ht="27" customHeight="1" thickBot="1">
      <c r="A2" s="167" t="s">
        <v>14</v>
      </c>
      <c r="B2" s="167" t="s">
        <v>15</v>
      </c>
      <c r="C2" s="167" t="s">
        <v>0</v>
      </c>
      <c r="D2" s="200" t="s">
        <v>4</v>
      </c>
      <c r="E2" s="200"/>
      <c r="F2" s="172" t="s">
        <v>2</v>
      </c>
      <c r="G2" s="171" t="s">
        <v>17</v>
      </c>
      <c r="H2" s="171" t="s">
        <v>18</v>
      </c>
      <c r="I2" s="168" t="s">
        <v>19</v>
      </c>
      <c r="J2" s="168" t="s">
        <v>20</v>
      </c>
      <c r="K2" s="169" t="s">
        <v>21</v>
      </c>
      <c r="L2" s="174" t="s">
        <v>26</v>
      </c>
      <c r="M2" s="174" t="s">
        <v>27</v>
      </c>
      <c r="N2" s="167" t="s">
        <v>16</v>
      </c>
      <c r="O2" s="167" t="s">
        <v>22</v>
      </c>
      <c r="P2" s="175" t="s">
        <v>23</v>
      </c>
      <c r="Q2" s="166" t="s">
        <v>28</v>
      </c>
      <c r="R2" s="166" t="s">
        <v>24</v>
      </c>
      <c r="S2" s="173" t="s">
        <v>25</v>
      </c>
    </row>
    <row r="3" spans="1:19" ht="126" customHeight="1" thickBot="1">
      <c r="A3" s="167"/>
      <c r="B3" s="167"/>
      <c r="C3" s="167"/>
      <c r="D3" s="1" t="s">
        <v>1</v>
      </c>
      <c r="E3" s="2" t="s">
        <v>13</v>
      </c>
      <c r="F3" s="172"/>
      <c r="G3" s="171"/>
      <c r="H3" s="171"/>
      <c r="I3" s="168"/>
      <c r="J3" s="168"/>
      <c r="K3" s="170"/>
      <c r="L3" s="174"/>
      <c r="M3" s="174"/>
      <c r="N3" s="167"/>
      <c r="O3" s="167"/>
      <c r="P3" s="175"/>
      <c r="Q3" s="166"/>
      <c r="R3" s="166"/>
      <c r="S3" s="173"/>
    </row>
    <row r="4" spans="1:19" ht="21.75" customHeight="1" thickBot="1">
      <c r="A4" s="201">
        <v>1</v>
      </c>
      <c r="B4" s="176" t="s">
        <v>30</v>
      </c>
      <c r="C4" s="197" t="s">
        <v>3</v>
      </c>
      <c r="D4" s="19" t="s">
        <v>5</v>
      </c>
      <c r="E4" s="20">
        <v>1913.505</v>
      </c>
      <c r="F4" s="21">
        <v>5.377</v>
      </c>
      <c r="G4" s="21">
        <v>10288.92</v>
      </c>
      <c r="H4" s="22">
        <v>5748</v>
      </c>
      <c r="I4" s="22">
        <f>E4*F4</f>
        <v>10288.916385</v>
      </c>
      <c r="J4" s="22">
        <f>E4*3</f>
        <v>5740.515</v>
      </c>
      <c r="K4" s="22">
        <f aca="true" t="shared" si="0" ref="K4:K12">I4+J4</f>
        <v>16029.431385</v>
      </c>
      <c r="L4" s="22">
        <f aca="true" t="shared" si="1" ref="L4:M12">I4-G4</f>
        <v>-0.003614999999626889</v>
      </c>
      <c r="M4" s="22">
        <f t="shared" si="1"/>
        <v>-7.484999999999673</v>
      </c>
      <c r="N4" s="23"/>
      <c r="O4" s="23"/>
      <c r="P4" s="23"/>
      <c r="Q4" s="24"/>
      <c r="R4" s="25"/>
      <c r="S4" s="5"/>
    </row>
    <row r="5" spans="1:19" ht="18.75" customHeight="1" thickBot="1">
      <c r="A5" s="202"/>
      <c r="B5" s="177"/>
      <c r="C5" s="198"/>
      <c r="D5" s="19" t="s">
        <v>6</v>
      </c>
      <c r="E5" s="20">
        <f>1823+E4</f>
        <v>3736.505</v>
      </c>
      <c r="F5" s="21">
        <v>5.38</v>
      </c>
      <c r="G5" s="21">
        <f>9807.94+G4</f>
        <v>20096.86</v>
      </c>
      <c r="H5" s="22">
        <f>16407.65+H4</f>
        <v>22155.65</v>
      </c>
      <c r="I5" s="22">
        <f>9807.74+I4</f>
        <v>20096.656385000002</v>
      </c>
      <c r="J5" s="22">
        <f>16407+J4</f>
        <v>22147.515</v>
      </c>
      <c r="K5" s="22">
        <f t="shared" si="0"/>
        <v>42244.171385</v>
      </c>
      <c r="L5" s="22">
        <f t="shared" si="1"/>
        <v>-0.2036149999985355</v>
      </c>
      <c r="M5" s="22">
        <f t="shared" si="1"/>
        <v>-8.135000000002037</v>
      </c>
      <c r="N5" s="23"/>
      <c r="O5" s="23"/>
      <c r="P5" s="23"/>
      <c r="Q5" s="25"/>
      <c r="R5" s="25"/>
      <c r="S5" s="5"/>
    </row>
    <row r="6" spans="1:19" ht="19.5" customHeight="1" thickBot="1">
      <c r="A6" s="202"/>
      <c r="B6" s="177"/>
      <c r="C6" s="198"/>
      <c r="D6" s="19" t="s">
        <v>7</v>
      </c>
      <c r="E6" s="20">
        <f>1663.6+E5</f>
        <v>5400.105</v>
      </c>
      <c r="F6" s="21">
        <v>5.38</v>
      </c>
      <c r="G6" s="21">
        <f>8950.2+G5</f>
        <v>29047.06</v>
      </c>
      <c r="H6" s="22">
        <f>24953.83+H5</f>
        <v>47109.48</v>
      </c>
      <c r="I6" s="22">
        <f>8950.17+I5</f>
        <v>29046.826385</v>
      </c>
      <c r="J6" s="22">
        <f>24954+J5</f>
        <v>47101.515</v>
      </c>
      <c r="K6" s="22">
        <f t="shared" si="0"/>
        <v>76148.341385</v>
      </c>
      <c r="L6" s="22">
        <f t="shared" si="1"/>
        <v>-0.23361500000100932</v>
      </c>
      <c r="M6" s="22">
        <f t="shared" si="1"/>
        <v>-7.9650000000037835</v>
      </c>
      <c r="N6" s="23"/>
      <c r="O6" s="23"/>
      <c r="P6" s="23"/>
      <c r="Q6" s="25"/>
      <c r="R6" s="25"/>
      <c r="S6" s="5"/>
    </row>
    <row r="7" spans="1:19" ht="17.25" customHeight="1" thickBot="1">
      <c r="A7" s="202"/>
      <c r="B7" s="177"/>
      <c r="C7" s="198"/>
      <c r="D7" s="19" t="s">
        <v>8</v>
      </c>
      <c r="E7" s="20">
        <f>1753.83+E6</f>
        <v>7153.9349999999995</v>
      </c>
      <c r="F7" s="21">
        <v>5.38</v>
      </c>
      <c r="G7" s="21">
        <f>9435.56+G6</f>
        <v>38482.62</v>
      </c>
      <c r="H7" s="22">
        <f>38584.19+H6</f>
        <v>85693.67000000001</v>
      </c>
      <c r="I7" s="22">
        <f>9435.59+I6</f>
        <v>38482.416385000004</v>
      </c>
      <c r="J7" s="22">
        <f>38584.19+J6</f>
        <v>85685.705</v>
      </c>
      <c r="K7" s="22">
        <f t="shared" si="0"/>
        <v>124168.121385</v>
      </c>
      <c r="L7" s="22">
        <f t="shared" si="1"/>
        <v>-0.2036149999985355</v>
      </c>
      <c r="M7" s="22">
        <f t="shared" si="1"/>
        <v>-7.9650000000110595</v>
      </c>
      <c r="N7" s="23"/>
      <c r="O7" s="23"/>
      <c r="P7" s="23"/>
      <c r="Q7" s="25"/>
      <c r="R7" s="25"/>
      <c r="S7" s="5"/>
    </row>
    <row r="8" spans="1:19" ht="21" customHeight="1" thickBot="1">
      <c r="A8" s="202"/>
      <c r="B8" s="177"/>
      <c r="C8" s="198"/>
      <c r="D8" s="19" t="s">
        <v>9</v>
      </c>
      <c r="E8" s="20">
        <f>1721.288+E7</f>
        <v>8875.223</v>
      </c>
      <c r="F8" s="21">
        <v>5.38</v>
      </c>
      <c r="G8" s="21">
        <f>9260.53+G7</f>
        <v>47743.15</v>
      </c>
      <c r="H8" s="22">
        <f>48196.06+H7</f>
        <v>133889.73</v>
      </c>
      <c r="I8" s="22">
        <f>9260.53+I7</f>
        <v>47742.946385</v>
      </c>
      <c r="J8" s="22">
        <f>48196.06+J7</f>
        <v>133881.765</v>
      </c>
      <c r="K8" s="22">
        <f t="shared" si="0"/>
        <v>181624.71138500003</v>
      </c>
      <c r="L8" s="22">
        <f t="shared" si="1"/>
        <v>-0.2036149999985355</v>
      </c>
      <c r="M8" s="22">
        <f t="shared" si="1"/>
        <v>-7.9649999999965075</v>
      </c>
      <c r="N8" s="23"/>
      <c r="O8" s="23"/>
      <c r="P8" s="23"/>
      <c r="Q8" s="25"/>
      <c r="R8" s="25"/>
      <c r="S8" s="5"/>
    </row>
    <row r="9" spans="1:19" ht="67.5" customHeight="1" thickBot="1">
      <c r="A9" s="202"/>
      <c r="B9" s="177"/>
      <c r="C9" s="198"/>
      <c r="D9" s="19" t="s">
        <v>29</v>
      </c>
      <c r="E9" s="26">
        <f>2010.32+E8</f>
        <v>10885.543</v>
      </c>
      <c r="F9" s="22">
        <v>5.38</v>
      </c>
      <c r="G9" s="22">
        <f>10815.54+G8</f>
        <v>58558.69</v>
      </c>
      <c r="H9" s="22">
        <f>72371.52+H8</f>
        <v>206261.25</v>
      </c>
      <c r="I9" s="22">
        <f>10815.52+I8</f>
        <v>58558.46638500001</v>
      </c>
      <c r="J9" s="22">
        <f>72371.52+J8</f>
        <v>206253.28500000003</v>
      </c>
      <c r="K9" s="22">
        <f t="shared" si="0"/>
        <v>264811.75138500007</v>
      </c>
      <c r="L9" s="22">
        <f t="shared" si="1"/>
        <v>-0.22361499999533407</v>
      </c>
      <c r="M9" s="22">
        <f t="shared" si="1"/>
        <v>-7.964999999967404</v>
      </c>
      <c r="N9" s="27"/>
      <c r="O9" s="27"/>
      <c r="P9" s="28" t="s">
        <v>49</v>
      </c>
      <c r="Q9" s="25"/>
      <c r="R9" s="25"/>
      <c r="S9" s="5"/>
    </row>
    <row r="10" spans="1:19" ht="74.25" customHeight="1" thickBot="1">
      <c r="A10" s="202"/>
      <c r="B10" s="177"/>
      <c r="C10" s="198"/>
      <c r="D10" s="19" t="s">
        <v>77</v>
      </c>
      <c r="E10" s="26">
        <f>1265.46+E9</f>
        <v>12151.003</v>
      </c>
      <c r="F10" s="22">
        <v>5.38</v>
      </c>
      <c r="G10" s="22">
        <f>6808.18+G9</f>
        <v>65366.87</v>
      </c>
      <c r="H10" s="22">
        <f>3298+14134+33186.4+H9</f>
        <v>256879.65</v>
      </c>
      <c r="I10" s="22">
        <f>6808.17+I9</f>
        <v>65366.636385000005</v>
      </c>
      <c r="J10" s="22">
        <f>50618.4+J9</f>
        <v>256871.68500000003</v>
      </c>
      <c r="K10" s="22">
        <f t="shared" si="0"/>
        <v>322238.321385</v>
      </c>
      <c r="L10" s="22">
        <f>I10-G10</f>
        <v>-0.23361499999737134</v>
      </c>
      <c r="M10" s="22">
        <f>J10-H10</f>
        <v>-7.964999999967404</v>
      </c>
      <c r="N10" s="27"/>
      <c r="O10" s="27"/>
      <c r="P10" s="29" t="s">
        <v>50</v>
      </c>
      <c r="Q10" s="25"/>
      <c r="R10" s="25"/>
      <c r="S10" s="5"/>
    </row>
    <row r="11" spans="1:19" s="13" customFormat="1" ht="61.5" customHeight="1" thickBot="1">
      <c r="A11" s="202"/>
      <c r="B11" s="177"/>
      <c r="C11" s="199"/>
      <c r="D11" s="19" t="s">
        <v>47</v>
      </c>
      <c r="E11" s="30">
        <f>224.75+202.41+222.6+254.5+E10</f>
        <v>13055.263</v>
      </c>
      <c r="F11" s="22">
        <v>5.38</v>
      </c>
      <c r="G11" s="22">
        <f>4864.9+G10</f>
        <v>70231.77</v>
      </c>
      <c r="H11" s="22">
        <f>3352.5+3973.5+6120.4+9733.5+H10</f>
        <v>280059.55</v>
      </c>
      <c r="I11" s="22">
        <f>4864.91+I10</f>
        <v>70231.54638500001</v>
      </c>
      <c r="J11" s="22">
        <f>10113.75+9108.41+10017+11452.5+J10</f>
        <v>297563.34500000003</v>
      </c>
      <c r="K11" s="22">
        <f t="shared" si="0"/>
        <v>367794.891385</v>
      </c>
      <c r="L11" s="22">
        <f t="shared" si="1"/>
        <v>-0.22361499999533407</v>
      </c>
      <c r="M11" s="22">
        <f t="shared" si="1"/>
        <v>17503.795000000042</v>
      </c>
      <c r="N11" s="31"/>
      <c r="O11" s="31"/>
      <c r="P11" s="32" t="s">
        <v>51</v>
      </c>
      <c r="Q11" s="33"/>
      <c r="R11" s="33"/>
      <c r="S11" s="12"/>
    </row>
    <row r="12" spans="1:19" s="13" customFormat="1" ht="61.5" customHeight="1" thickBot="1">
      <c r="A12" s="202"/>
      <c r="B12" s="177"/>
      <c r="C12" s="34" t="s">
        <v>43</v>
      </c>
      <c r="D12" s="19" t="s">
        <v>47</v>
      </c>
      <c r="E12" s="26">
        <f>101.85+49.06+53.5+74.9</f>
        <v>279.31</v>
      </c>
      <c r="F12" s="22">
        <v>5.38</v>
      </c>
      <c r="G12" s="22">
        <f>1502.69</f>
        <v>1502.69</v>
      </c>
      <c r="H12" s="35">
        <f>6979.95</f>
        <v>6979.95</v>
      </c>
      <c r="I12" s="35">
        <f>E12*5.38</f>
        <v>1502.6878</v>
      </c>
      <c r="J12" s="35">
        <f>12568.95</f>
        <v>12568.95</v>
      </c>
      <c r="K12" s="22">
        <f t="shared" si="0"/>
        <v>14071.6378</v>
      </c>
      <c r="L12" s="22">
        <f t="shared" si="1"/>
        <v>-0.002200000000129876</v>
      </c>
      <c r="M12" s="22">
        <f t="shared" si="1"/>
        <v>5589.000000000001</v>
      </c>
      <c r="N12" s="31"/>
      <c r="O12" s="31"/>
      <c r="P12" s="36"/>
      <c r="Q12" s="33"/>
      <c r="R12" s="33"/>
      <c r="S12" s="12"/>
    </row>
    <row r="13" spans="1:19" s="13" customFormat="1" ht="55.5" customHeight="1" thickBot="1">
      <c r="A13" s="202"/>
      <c r="B13" s="177"/>
      <c r="C13" s="34" t="s">
        <v>3</v>
      </c>
      <c r="D13" s="125" t="s">
        <v>78</v>
      </c>
      <c r="E13" s="26">
        <f>1152.8+E11</f>
        <v>14208.063</v>
      </c>
      <c r="F13" s="22">
        <v>5.38</v>
      </c>
      <c r="G13" s="22">
        <f>2668.49+G11</f>
        <v>72900.26000000001</v>
      </c>
      <c r="H13" s="22">
        <f>16911.9+H11</f>
        <v>296971.45</v>
      </c>
      <c r="I13" s="22">
        <f>6202.06+I11</f>
        <v>76433.606385</v>
      </c>
      <c r="J13" s="22">
        <f>65709.6+J11</f>
        <v>363272.94500000007</v>
      </c>
      <c r="K13" s="22">
        <f>I13+J13</f>
        <v>439706.55138500006</v>
      </c>
      <c r="L13" s="22">
        <f aca="true" t="shared" si="2" ref="L13:M16">I13-G13</f>
        <v>3533.346384999997</v>
      </c>
      <c r="M13" s="22">
        <f t="shared" si="2"/>
        <v>66301.49500000005</v>
      </c>
      <c r="N13" s="31"/>
      <c r="O13" s="31"/>
      <c r="P13" s="28" t="s">
        <v>52</v>
      </c>
      <c r="Q13" s="33"/>
      <c r="R13" s="33"/>
      <c r="S13" s="12"/>
    </row>
    <row r="14" spans="1:19" s="13" customFormat="1" ht="61.5" customHeight="1" thickBot="1">
      <c r="A14" s="202"/>
      <c r="B14" s="177"/>
      <c r="C14" s="46" t="s">
        <v>43</v>
      </c>
      <c r="D14" s="125" t="s">
        <v>78</v>
      </c>
      <c r="E14" s="26">
        <f>228.4+E12</f>
        <v>507.71000000000004</v>
      </c>
      <c r="F14" s="22">
        <v>5.38</v>
      </c>
      <c r="G14" s="22">
        <f>493.88+G12</f>
        <v>1996.5700000000002</v>
      </c>
      <c r="H14" s="22">
        <f>1419.3+H12</f>
        <v>8399.25</v>
      </c>
      <c r="I14" s="22">
        <f>1228.79+I12</f>
        <v>2731.4777999999997</v>
      </c>
      <c r="J14" s="22">
        <f>13018.8+J12</f>
        <v>25587.75</v>
      </c>
      <c r="K14" s="22">
        <f>I14+J14</f>
        <v>28319.2278</v>
      </c>
      <c r="L14" s="22">
        <f t="shared" si="2"/>
        <v>734.9077999999995</v>
      </c>
      <c r="M14" s="22">
        <f t="shared" si="2"/>
        <v>17188.5</v>
      </c>
      <c r="N14" s="31"/>
      <c r="O14" s="31"/>
      <c r="P14" s="36"/>
      <c r="Q14" s="33"/>
      <c r="R14" s="33"/>
      <c r="S14" s="12"/>
    </row>
    <row r="15" spans="1:19" s="13" customFormat="1" ht="61.5" customHeight="1" thickBot="1">
      <c r="A15" s="202"/>
      <c r="B15" s="177"/>
      <c r="C15" s="18" t="s">
        <v>3</v>
      </c>
      <c r="D15" s="37" t="s">
        <v>81</v>
      </c>
      <c r="E15" s="30">
        <f>E13+335.52</f>
        <v>14543.583</v>
      </c>
      <c r="F15" s="35">
        <v>5.38</v>
      </c>
      <c r="G15" s="35">
        <f>G13+0</f>
        <v>72900.26000000001</v>
      </c>
      <c r="H15" s="35">
        <f>H13+0</f>
        <v>296971.45</v>
      </c>
      <c r="I15" s="35">
        <f>I13+1805.1</f>
        <v>78238.70638500001</v>
      </c>
      <c r="J15" s="35">
        <f>J13+27817.88</f>
        <v>391090.82500000007</v>
      </c>
      <c r="K15" s="35">
        <f>I15+J15</f>
        <v>469329.5313850001</v>
      </c>
      <c r="L15" s="35">
        <f t="shared" si="2"/>
        <v>5338.446385000003</v>
      </c>
      <c r="M15" s="35">
        <f t="shared" si="2"/>
        <v>94119.37500000006</v>
      </c>
      <c r="N15" s="31"/>
      <c r="O15" s="31"/>
      <c r="P15" s="134"/>
      <c r="Q15" s="33"/>
      <c r="R15" s="33"/>
      <c r="S15" s="12"/>
    </row>
    <row r="16" spans="1:19" s="13" customFormat="1" ht="61.5" customHeight="1" thickBot="1">
      <c r="A16" s="203"/>
      <c r="B16" s="178"/>
      <c r="C16" s="38" t="s">
        <v>43</v>
      </c>
      <c r="D16" s="37" t="s">
        <v>81</v>
      </c>
      <c r="E16" s="30">
        <f>E14+166.2</f>
        <v>673.9100000000001</v>
      </c>
      <c r="F16" s="35">
        <v>5.38</v>
      </c>
      <c r="G16" s="35">
        <f>G14+0</f>
        <v>1996.5700000000002</v>
      </c>
      <c r="H16" s="35">
        <f>H14+0</f>
        <v>8399.25</v>
      </c>
      <c r="I16" s="35">
        <f>I14+894.16</f>
        <v>3625.6377999999995</v>
      </c>
      <c r="J16" s="35">
        <f>J14+13798.7</f>
        <v>39386.45</v>
      </c>
      <c r="K16" s="35">
        <f>I16+J16</f>
        <v>43012.087799999994</v>
      </c>
      <c r="L16" s="35">
        <f t="shared" si="2"/>
        <v>1629.0677999999994</v>
      </c>
      <c r="M16" s="35">
        <f t="shared" si="2"/>
        <v>30987.199999999997</v>
      </c>
      <c r="N16" s="31"/>
      <c r="O16" s="31"/>
      <c r="P16" s="36"/>
      <c r="Q16" s="33"/>
      <c r="R16" s="33"/>
      <c r="S16" s="12"/>
    </row>
    <row r="17" spans="1:19" s="17" customFormat="1" ht="33" customHeight="1" thickBot="1">
      <c r="A17" s="39"/>
      <c r="B17" s="40"/>
      <c r="C17" s="41"/>
      <c r="D17" s="42"/>
      <c r="E17" s="43"/>
      <c r="F17" s="43"/>
      <c r="G17" s="43"/>
      <c r="H17" s="43"/>
      <c r="I17" s="43"/>
      <c r="J17" s="43"/>
      <c r="K17" s="43"/>
      <c r="L17" s="43"/>
      <c r="M17" s="43"/>
      <c r="N17" s="44"/>
      <c r="O17" s="44"/>
      <c r="P17" s="44"/>
      <c r="Q17" s="45"/>
      <c r="R17" s="45"/>
      <c r="S17" s="143"/>
    </row>
    <row r="18" spans="1:19" ht="13.5" customHeight="1" thickBot="1">
      <c r="A18" s="204">
        <v>2</v>
      </c>
      <c r="B18" s="191" t="s">
        <v>39</v>
      </c>
      <c r="C18" s="196" t="s">
        <v>10</v>
      </c>
      <c r="D18" s="47" t="s">
        <v>5</v>
      </c>
      <c r="E18" s="48">
        <v>3044.334</v>
      </c>
      <c r="F18" s="22">
        <v>0</v>
      </c>
      <c r="G18" s="22">
        <v>0</v>
      </c>
      <c r="H18" s="22">
        <v>9133</v>
      </c>
      <c r="I18" s="22">
        <v>0</v>
      </c>
      <c r="J18" s="22">
        <v>9133</v>
      </c>
      <c r="K18" s="22">
        <f aca="true" t="shared" si="3" ref="K18:K48">SUM(I18:J18)</f>
        <v>9133</v>
      </c>
      <c r="L18" s="22">
        <f aca="true" t="shared" si="4" ref="L18:M32">I18-G18</f>
        <v>0</v>
      </c>
      <c r="M18" s="22">
        <f t="shared" si="4"/>
        <v>0</v>
      </c>
      <c r="N18" s="49"/>
      <c r="O18" s="49"/>
      <c r="P18" s="50"/>
      <c r="Q18" s="51"/>
      <c r="R18" s="51"/>
      <c r="S18" s="181" t="s">
        <v>48</v>
      </c>
    </row>
    <row r="19" spans="1:19" ht="15.75" thickBot="1">
      <c r="A19" s="205"/>
      <c r="B19" s="156"/>
      <c r="C19" s="196"/>
      <c r="D19" s="52" t="s">
        <v>6</v>
      </c>
      <c r="E19" s="48">
        <f>2991.017+E18</f>
        <v>6035.351</v>
      </c>
      <c r="F19" s="22">
        <v>0</v>
      </c>
      <c r="G19" s="22">
        <f>0+G18</f>
        <v>0</v>
      </c>
      <c r="H19" s="22">
        <f>26919.15+H18</f>
        <v>36052.15</v>
      </c>
      <c r="I19" s="22">
        <f>0+I18</f>
        <v>0</v>
      </c>
      <c r="J19" s="22">
        <f>26919.15+J18</f>
        <v>36052.15</v>
      </c>
      <c r="K19" s="22">
        <f t="shared" si="3"/>
        <v>36052.15</v>
      </c>
      <c r="L19" s="22">
        <f t="shared" si="4"/>
        <v>0</v>
      </c>
      <c r="M19" s="22">
        <f t="shared" si="4"/>
        <v>0</v>
      </c>
      <c r="N19" s="49"/>
      <c r="O19" s="49"/>
      <c r="P19" s="50"/>
      <c r="Q19" s="51"/>
      <c r="R19" s="51"/>
      <c r="S19" s="182"/>
    </row>
    <row r="20" spans="1:19" ht="13.5" customHeight="1" thickBot="1">
      <c r="A20" s="205"/>
      <c r="B20" s="156"/>
      <c r="C20" s="196"/>
      <c r="D20" s="53" t="s">
        <v>7</v>
      </c>
      <c r="E20" s="54">
        <f>2705.82+E19</f>
        <v>8741.171</v>
      </c>
      <c r="F20" s="21">
        <v>0</v>
      </c>
      <c r="G20" s="22">
        <f>0+G19</f>
        <v>0</v>
      </c>
      <c r="H20" s="22">
        <f>40587.33+H19</f>
        <v>76639.48000000001</v>
      </c>
      <c r="I20" s="22">
        <f>0+I19</f>
        <v>0</v>
      </c>
      <c r="J20" s="22">
        <f>40587.33+J19</f>
        <v>76639.48000000001</v>
      </c>
      <c r="K20" s="22">
        <f t="shared" si="3"/>
        <v>76639.48000000001</v>
      </c>
      <c r="L20" s="22">
        <f>I20-G20</f>
        <v>0</v>
      </c>
      <c r="M20" s="22">
        <f t="shared" si="4"/>
        <v>0</v>
      </c>
      <c r="N20" s="55"/>
      <c r="O20" s="50"/>
      <c r="P20" s="50"/>
      <c r="Q20" s="51"/>
      <c r="R20" s="51"/>
      <c r="S20" s="182"/>
    </row>
    <row r="21" spans="1:19" ht="15.75" thickBot="1">
      <c r="A21" s="205"/>
      <c r="B21" s="156"/>
      <c r="C21" s="196"/>
      <c r="D21" s="19" t="s">
        <v>8</v>
      </c>
      <c r="E21" s="54">
        <f>2502.36+E20</f>
        <v>11243.531</v>
      </c>
      <c r="F21" s="21">
        <v>0</v>
      </c>
      <c r="G21" s="22">
        <f>0+G20</f>
        <v>0</v>
      </c>
      <c r="H21" s="22">
        <f>55177.76+H20</f>
        <v>131817.24000000002</v>
      </c>
      <c r="I21" s="22">
        <f>0+I20</f>
        <v>0</v>
      </c>
      <c r="J21" s="22">
        <f>55051.92+J20</f>
        <v>131691.40000000002</v>
      </c>
      <c r="K21" s="22">
        <f t="shared" si="3"/>
        <v>131691.40000000002</v>
      </c>
      <c r="L21" s="22">
        <f>I21-G21</f>
        <v>0</v>
      </c>
      <c r="M21" s="22">
        <f t="shared" si="4"/>
        <v>-125.83999999999651</v>
      </c>
      <c r="N21" s="55"/>
      <c r="O21" s="55"/>
      <c r="P21" s="50"/>
      <c r="Q21" s="51"/>
      <c r="R21" s="51"/>
      <c r="S21" s="182"/>
    </row>
    <row r="22" spans="1:19" ht="41.25" customHeight="1" thickBot="1">
      <c r="A22" s="205"/>
      <c r="B22" s="156"/>
      <c r="C22" s="196"/>
      <c r="D22" s="56" t="s">
        <v>9</v>
      </c>
      <c r="E22" s="20">
        <f>2491.86+E21</f>
        <v>13735.391000000001</v>
      </c>
      <c r="F22" s="21">
        <v>6.29</v>
      </c>
      <c r="G22" s="22">
        <f>15674.63+G21</f>
        <v>15674.63</v>
      </c>
      <c r="H22" s="22">
        <f>69772.1+H21</f>
        <v>201589.34000000003</v>
      </c>
      <c r="I22" s="22">
        <f>15673.8+I21</f>
        <v>15673.8</v>
      </c>
      <c r="J22" s="22">
        <f>69772.08+J21</f>
        <v>201463.48000000004</v>
      </c>
      <c r="K22" s="22">
        <f t="shared" si="3"/>
        <v>217137.28000000003</v>
      </c>
      <c r="L22" s="22">
        <f t="shared" si="4"/>
        <v>-0.8299999999999272</v>
      </c>
      <c r="M22" s="22">
        <f t="shared" si="4"/>
        <v>-125.85999999998603</v>
      </c>
      <c r="N22" s="55"/>
      <c r="O22" s="55"/>
      <c r="P22" s="28" t="s">
        <v>53</v>
      </c>
      <c r="Q22" s="51"/>
      <c r="R22" s="51"/>
      <c r="S22" s="182"/>
    </row>
    <row r="23" spans="1:19" ht="37.5" customHeight="1" thickBot="1">
      <c r="A23" s="205"/>
      <c r="B23" s="156"/>
      <c r="C23" s="196"/>
      <c r="D23" s="57" t="s">
        <v>29</v>
      </c>
      <c r="E23" s="26">
        <f>2704.16+E22</f>
        <v>16439.551</v>
      </c>
      <c r="F23" s="22">
        <v>6.29</v>
      </c>
      <c r="G23" s="22">
        <f>17009.19+G22</f>
        <v>32683.82</v>
      </c>
      <c r="H23" s="22">
        <f>97349.76+H22</f>
        <v>298939.10000000003</v>
      </c>
      <c r="I23" s="22">
        <f>17009.17+I22</f>
        <v>32682.969999999998</v>
      </c>
      <c r="J23" s="22">
        <f>97349.76+J22</f>
        <v>298813.24000000005</v>
      </c>
      <c r="K23" s="22">
        <f t="shared" si="3"/>
        <v>331496.21</v>
      </c>
      <c r="L23" s="22">
        <f t="shared" si="4"/>
        <v>-0.8500000000021828</v>
      </c>
      <c r="M23" s="22">
        <f t="shared" si="4"/>
        <v>-125.85999999998603</v>
      </c>
      <c r="N23" s="55"/>
      <c r="O23" s="55"/>
      <c r="P23" s="28" t="s">
        <v>54</v>
      </c>
      <c r="Q23" s="51"/>
      <c r="R23" s="51"/>
      <c r="S23" s="182"/>
    </row>
    <row r="24" spans="1:19" ht="37.5" customHeight="1" thickBot="1">
      <c r="A24" s="205"/>
      <c r="B24" s="156"/>
      <c r="C24" s="46" t="s">
        <v>10</v>
      </c>
      <c r="D24" s="19" t="s">
        <v>77</v>
      </c>
      <c r="E24" s="26">
        <f>2871.15+E23</f>
        <v>19310.701</v>
      </c>
      <c r="F24" s="22">
        <v>5.74</v>
      </c>
      <c r="G24" s="35">
        <f>16480.44+G23</f>
        <v>49164.259999999995</v>
      </c>
      <c r="H24" s="35">
        <f>114846.1+H23</f>
        <v>413785.20000000007</v>
      </c>
      <c r="I24" s="22">
        <f>16480.4+I23</f>
        <v>49163.369999999995</v>
      </c>
      <c r="J24" s="22">
        <f>114846+J23</f>
        <v>413659.24000000005</v>
      </c>
      <c r="K24" s="22">
        <f t="shared" si="3"/>
        <v>462822.61000000004</v>
      </c>
      <c r="L24" s="22">
        <f aca="true" t="shared" si="5" ref="L24:L30">I24-G24</f>
        <v>-0.8899999999994179</v>
      </c>
      <c r="M24" s="22">
        <f t="shared" si="4"/>
        <v>-125.96000000002095</v>
      </c>
      <c r="N24" s="55"/>
      <c r="O24" s="55"/>
      <c r="P24" s="29" t="s">
        <v>55</v>
      </c>
      <c r="Q24" s="51"/>
      <c r="R24" s="51"/>
      <c r="S24" s="182"/>
    </row>
    <row r="25" spans="1:19" ht="37.5" customHeight="1" thickBot="1">
      <c r="A25" s="205"/>
      <c r="B25" s="156"/>
      <c r="C25" s="46" t="s">
        <v>10</v>
      </c>
      <c r="D25" s="19" t="s">
        <v>47</v>
      </c>
      <c r="E25" s="26">
        <f>684.26+586+815.62+599.7+E24</f>
        <v>21996.281000000003</v>
      </c>
      <c r="F25" s="22">
        <v>5.74</v>
      </c>
      <c r="G25" s="22">
        <f>15415.23+G24</f>
        <v>64579.48999999999</v>
      </c>
      <c r="H25" s="22">
        <f>120851.1+H24</f>
        <v>534636.3</v>
      </c>
      <c r="I25" s="22">
        <f>15415.23+I24</f>
        <v>64578.59999999999</v>
      </c>
      <c r="J25" s="22">
        <f>30791.7+26370+36702.9+26986.5+J24</f>
        <v>534510.3400000001</v>
      </c>
      <c r="K25" s="22">
        <f aca="true" t="shared" si="6" ref="K25:K30">SUM(I25:J25)</f>
        <v>599088.9400000001</v>
      </c>
      <c r="L25" s="22">
        <f t="shared" si="5"/>
        <v>-0.8899999999994179</v>
      </c>
      <c r="M25" s="22">
        <f aca="true" t="shared" si="7" ref="M25:M30">J25-H25</f>
        <v>-125.95999999996275</v>
      </c>
      <c r="N25" s="55"/>
      <c r="O25" s="55"/>
      <c r="P25" s="58"/>
      <c r="Q25" s="51"/>
      <c r="R25" s="51"/>
      <c r="S25" s="182"/>
    </row>
    <row r="26" spans="1:19" ht="37.5" customHeight="1" thickBot="1">
      <c r="A26" s="205"/>
      <c r="B26" s="156"/>
      <c r="C26" s="46" t="s">
        <v>43</v>
      </c>
      <c r="D26" s="19" t="s">
        <v>47</v>
      </c>
      <c r="E26" s="26">
        <f>59.18+65.76+59.96+58.62</f>
        <v>243.52</v>
      </c>
      <c r="F26" s="22">
        <v>5.74</v>
      </c>
      <c r="G26" s="22">
        <v>1397.83</v>
      </c>
      <c r="H26" s="22">
        <v>10958.39</v>
      </c>
      <c r="I26" s="22">
        <f>341.65+131.1+244.41+344.16+336.48</f>
        <v>1397.8</v>
      </c>
      <c r="J26" s="22">
        <f>2678.4+2943.9+2698.2+2637.9</f>
        <v>10958.4</v>
      </c>
      <c r="K26" s="22">
        <f t="shared" si="6"/>
        <v>12356.199999999999</v>
      </c>
      <c r="L26" s="22">
        <f t="shared" si="5"/>
        <v>-0.029999999999972715</v>
      </c>
      <c r="M26" s="22">
        <f t="shared" si="7"/>
        <v>0.010000000000218279</v>
      </c>
      <c r="N26" s="55"/>
      <c r="O26" s="55"/>
      <c r="P26" s="58"/>
      <c r="Q26" s="51"/>
      <c r="R26" s="51"/>
      <c r="S26" s="182"/>
    </row>
    <row r="27" spans="1:19" s="13" customFormat="1" ht="37.5" customHeight="1" thickBot="1">
      <c r="A27" s="205"/>
      <c r="B27" s="156"/>
      <c r="C27" s="46" t="s">
        <v>10</v>
      </c>
      <c r="D27" s="125" t="s">
        <v>78</v>
      </c>
      <c r="E27" s="26">
        <f>2674.06+E25</f>
        <v>24670.341000000004</v>
      </c>
      <c r="F27" s="22">
        <v>5.74</v>
      </c>
      <c r="G27" s="35">
        <f>15349.11+G25</f>
        <v>79928.59999999999</v>
      </c>
      <c r="H27" s="22">
        <f>152421.42+H25</f>
        <v>687057.7200000001</v>
      </c>
      <c r="I27" s="22">
        <f>15349.1+I25</f>
        <v>79927.7</v>
      </c>
      <c r="J27" s="22">
        <f>152421.42+J25</f>
        <v>686931.7600000001</v>
      </c>
      <c r="K27" s="22">
        <f t="shared" si="6"/>
        <v>766859.4600000001</v>
      </c>
      <c r="L27" s="22">
        <f t="shared" si="5"/>
        <v>-0.8999999999941792</v>
      </c>
      <c r="M27" s="22">
        <f t="shared" si="7"/>
        <v>-125.95999999996275</v>
      </c>
      <c r="N27" s="55"/>
      <c r="O27" s="55"/>
      <c r="P27" s="58"/>
      <c r="Q27" s="50"/>
      <c r="R27" s="50"/>
      <c r="S27" s="182"/>
    </row>
    <row r="28" spans="1:19" s="13" customFormat="1" ht="37.5" customHeight="1" thickBot="1">
      <c r="A28" s="205"/>
      <c r="B28" s="156"/>
      <c r="C28" s="46" t="s">
        <v>43</v>
      </c>
      <c r="D28" s="125" t="s">
        <v>78</v>
      </c>
      <c r="E28" s="26">
        <f>273.98+E26</f>
        <v>517.5</v>
      </c>
      <c r="F28" s="22">
        <v>5.74</v>
      </c>
      <c r="G28" s="30">
        <f>1572.65+G26</f>
        <v>2970.48</v>
      </c>
      <c r="H28" s="30">
        <f>15492.64+H26</f>
        <v>26451.03</v>
      </c>
      <c r="I28" s="26">
        <f>1572.65+I26</f>
        <v>2970.45</v>
      </c>
      <c r="J28" s="26">
        <f>15616.86+J26</f>
        <v>26575.260000000002</v>
      </c>
      <c r="K28" s="22">
        <f t="shared" si="6"/>
        <v>29545.710000000003</v>
      </c>
      <c r="L28" s="22">
        <f t="shared" si="5"/>
        <v>-0.03000000000020009</v>
      </c>
      <c r="M28" s="22">
        <f t="shared" si="7"/>
        <v>124.2300000000032</v>
      </c>
      <c r="N28" s="55"/>
      <c r="O28" s="55"/>
      <c r="P28" s="58"/>
      <c r="Q28" s="50"/>
      <c r="R28" s="50"/>
      <c r="S28" s="182"/>
    </row>
    <row r="29" spans="1:19" s="13" customFormat="1" ht="37.5" customHeight="1" thickBot="1">
      <c r="A29" s="205"/>
      <c r="B29" s="156"/>
      <c r="C29" s="38" t="s">
        <v>10</v>
      </c>
      <c r="D29" s="37" t="s">
        <v>81</v>
      </c>
      <c r="E29" s="30">
        <f>E27+1137.64</f>
        <v>25807.981000000003</v>
      </c>
      <c r="F29" s="35">
        <v>5.74</v>
      </c>
      <c r="G29" s="30">
        <f>G27+5501.35</f>
        <v>85429.95</v>
      </c>
      <c r="H29" s="30">
        <f>H27+78825.21</f>
        <v>765882.93</v>
      </c>
      <c r="I29" s="30">
        <f>I27+6530.05</f>
        <v>86457.75</v>
      </c>
      <c r="J29" s="30">
        <f>J27+91191.4</f>
        <v>778123.1600000001</v>
      </c>
      <c r="K29" s="35">
        <f t="shared" si="6"/>
        <v>864580.9100000001</v>
      </c>
      <c r="L29" s="35">
        <f t="shared" si="5"/>
        <v>1027.800000000003</v>
      </c>
      <c r="M29" s="35">
        <f t="shared" si="7"/>
        <v>12240.230000000098</v>
      </c>
      <c r="N29" s="55"/>
      <c r="O29" s="55"/>
      <c r="P29" s="134"/>
      <c r="Q29" s="50"/>
      <c r="R29" s="50"/>
      <c r="S29" s="182"/>
    </row>
    <row r="30" spans="1:19" s="13" customFormat="1" ht="37.5" customHeight="1" thickBot="1">
      <c r="A30" s="205"/>
      <c r="B30" s="156"/>
      <c r="C30" s="38" t="s">
        <v>43</v>
      </c>
      <c r="D30" s="37" t="s">
        <v>81</v>
      </c>
      <c r="E30" s="30">
        <f>E28+259.74</f>
        <v>777.24</v>
      </c>
      <c r="F30" s="35">
        <v>5.74</v>
      </c>
      <c r="G30" s="30">
        <f>G28+1217.69</f>
        <v>4188.17</v>
      </c>
      <c r="H30" s="30">
        <f>H28+16753.39</f>
        <v>43204.42</v>
      </c>
      <c r="I30" s="30">
        <f>I28+1490.91</f>
        <v>4461.36</v>
      </c>
      <c r="J30" s="30">
        <f>J28+20852.78</f>
        <v>47428.04</v>
      </c>
      <c r="K30" s="35">
        <f t="shared" si="6"/>
        <v>51889.4</v>
      </c>
      <c r="L30" s="35">
        <f t="shared" si="5"/>
        <v>273.1899999999996</v>
      </c>
      <c r="M30" s="35">
        <f t="shared" si="7"/>
        <v>4223.620000000003</v>
      </c>
      <c r="N30" s="55"/>
      <c r="O30" s="55"/>
      <c r="P30" s="58"/>
      <c r="Q30" s="50"/>
      <c r="R30" s="50"/>
      <c r="S30" s="182"/>
    </row>
    <row r="31" spans="1:19" ht="15.75" thickBot="1">
      <c r="A31" s="205"/>
      <c r="B31" s="156"/>
      <c r="C31" s="59" t="s">
        <v>11</v>
      </c>
      <c r="D31" s="60" t="s">
        <v>5</v>
      </c>
      <c r="E31" s="26">
        <v>2902.929</v>
      </c>
      <c r="F31" s="22">
        <v>0</v>
      </c>
      <c r="G31" s="22">
        <v>0</v>
      </c>
      <c r="H31" s="22">
        <v>8708.79</v>
      </c>
      <c r="I31" s="22">
        <v>0</v>
      </c>
      <c r="J31" s="22">
        <v>8708.79</v>
      </c>
      <c r="K31" s="22">
        <f t="shared" si="3"/>
        <v>8708.79</v>
      </c>
      <c r="L31" s="22">
        <f t="shared" si="4"/>
        <v>0</v>
      </c>
      <c r="M31" s="22">
        <f t="shared" si="4"/>
        <v>0</v>
      </c>
      <c r="N31" s="55"/>
      <c r="O31" s="55"/>
      <c r="P31" s="50"/>
      <c r="Q31" s="51"/>
      <c r="R31" s="51"/>
      <c r="S31" s="182"/>
    </row>
    <row r="32" spans="1:19" ht="15.75" thickBot="1">
      <c r="A32" s="205"/>
      <c r="B32" s="156"/>
      <c r="C32" s="59" t="s">
        <v>11</v>
      </c>
      <c r="D32" s="60" t="s">
        <v>6</v>
      </c>
      <c r="E32" s="26">
        <f>2721.86+E31</f>
        <v>5624.789000000001</v>
      </c>
      <c r="F32" s="22">
        <v>0</v>
      </c>
      <c r="G32" s="22">
        <f>0+G31</f>
        <v>0</v>
      </c>
      <c r="H32" s="22">
        <f>24496.74+H31</f>
        <v>33205.53</v>
      </c>
      <c r="I32" s="22">
        <f>0+I31</f>
        <v>0</v>
      </c>
      <c r="J32" s="22">
        <f>24496.74+J31</f>
        <v>33205.53</v>
      </c>
      <c r="K32" s="22">
        <f t="shared" si="3"/>
        <v>33205.53</v>
      </c>
      <c r="L32" s="22">
        <f t="shared" si="4"/>
        <v>0</v>
      </c>
      <c r="M32" s="22">
        <f t="shared" si="4"/>
        <v>0</v>
      </c>
      <c r="N32" s="55"/>
      <c r="O32" s="55"/>
      <c r="P32" s="50"/>
      <c r="Q32" s="51"/>
      <c r="R32" s="51"/>
      <c r="S32" s="182"/>
    </row>
    <row r="33" spans="1:19" ht="15.75" thickBot="1">
      <c r="A33" s="205"/>
      <c r="B33" s="156"/>
      <c r="C33" s="46" t="s">
        <v>11</v>
      </c>
      <c r="D33" s="19" t="s">
        <v>7</v>
      </c>
      <c r="E33" s="20">
        <f>2578.28+E32</f>
        <v>8203.069000000001</v>
      </c>
      <c r="F33" s="21">
        <v>0</v>
      </c>
      <c r="G33" s="22">
        <f>0+G32</f>
        <v>0</v>
      </c>
      <c r="H33" s="22">
        <f>39094.5+H32</f>
        <v>72300.03</v>
      </c>
      <c r="I33" s="22">
        <f>0+I32</f>
        <v>0</v>
      </c>
      <c r="J33" s="22">
        <f>38674.2+J32</f>
        <v>71879.73</v>
      </c>
      <c r="K33" s="22">
        <f t="shared" si="3"/>
        <v>71879.73</v>
      </c>
      <c r="L33" s="22">
        <f aca="true" t="shared" si="8" ref="L33:L48">I33-G33</f>
        <v>0</v>
      </c>
      <c r="M33" s="22">
        <f aca="true" t="shared" si="9" ref="M33:M48">J33-H33</f>
        <v>-420.3000000000029</v>
      </c>
      <c r="N33" s="55"/>
      <c r="O33" s="55"/>
      <c r="P33" s="50"/>
      <c r="Q33" s="51"/>
      <c r="R33" s="51"/>
      <c r="S33" s="182"/>
    </row>
    <row r="34" spans="1:19" ht="15" customHeight="1" thickBot="1">
      <c r="A34" s="205"/>
      <c r="B34" s="156"/>
      <c r="C34" s="46" t="s">
        <v>11</v>
      </c>
      <c r="D34" s="19" t="s">
        <v>8</v>
      </c>
      <c r="E34" s="20">
        <f>2607.22+E33</f>
        <v>10810.289</v>
      </c>
      <c r="F34" s="21">
        <v>0</v>
      </c>
      <c r="G34" s="22">
        <f>0+G33</f>
        <v>0</v>
      </c>
      <c r="H34" s="22">
        <f>57650.24+H33</f>
        <v>129950.26999999999</v>
      </c>
      <c r="I34" s="22">
        <f>0+I33</f>
        <v>0</v>
      </c>
      <c r="J34" s="22">
        <f>57358.84+J33</f>
        <v>129238.56999999999</v>
      </c>
      <c r="K34" s="22">
        <f t="shared" si="3"/>
        <v>129238.56999999999</v>
      </c>
      <c r="L34" s="22">
        <f t="shared" si="8"/>
        <v>0</v>
      </c>
      <c r="M34" s="22">
        <f t="shared" si="9"/>
        <v>-711.6999999999971</v>
      </c>
      <c r="N34" s="55"/>
      <c r="O34" s="55"/>
      <c r="P34" s="50"/>
      <c r="Q34" s="51"/>
      <c r="R34" s="51"/>
      <c r="S34" s="182"/>
    </row>
    <row r="35" spans="1:19" ht="54.75" customHeight="1" thickBot="1">
      <c r="A35" s="205"/>
      <c r="B35" s="156"/>
      <c r="C35" s="46" t="s">
        <v>11</v>
      </c>
      <c r="D35" s="19" t="s">
        <v>9</v>
      </c>
      <c r="E35" s="20">
        <f>2276.08+E34</f>
        <v>13086.369</v>
      </c>
      <c r="F35" s="21">
        <v>6.29</v>
      </c>
      <c r="G35" s="22">
        <f>14315.41+G34</f>
        <v>14315.41</v>
      </c>
      <c r="H35" s="22">
        <f>63729.12+H34</f>
        <v>193679.38999999998</v>
      </c>
      <c r="I35" s="22">
        <f>14316.54+I34</f>
        <v>14316.54</v>
      </c>
      <c r="J35" s="22">
        <f>63730.24+J34</f>
        <v>192968.81</v>
      </c>
      <c r="K35" s="22">
        <f t="shared" si="3"/>
        <v>207285.35</v>
      </c>
      <c r="L35" s="22">
        <f t="shared" si="8"/>
        <v>1.1300000000010186</v>
      </c>
      <c r="M35" s="22">
        <f t="shared" si="9"/>
        <v>-710.5799999999872</v>
      </c>
      <c r="N35" s="55"/>
      <c r="O35" s="50"/>
      <c r="P35" s="46" t="s">
        <v>56</v>
      </c>
      <c r="Q35" s="51"/>
      <c r="R35" s="51"/>
      <c r="S35" s="182"/>
    </row>
    <row r="36" spans="1:19" ht="75.75" customHeight="1" thickBot="1">
      <c r="A36" s="205"/>
      <c r="B36" s="156"/>
      <c r="C36" s="46" t="s">
        <v>11</v>
      </c>
      <c r="D36" s="19" t="s">
        <v>29</v>
      </c>
      <c r="E36" s="26">
        <f>2071.72+E35</f>
        <v>15158.089</v>
      </c>
      <c r="F36" s="22">
        <v>6.29</v>
      </c>
      <c r="G36" s="22">
        <f>13031.33+G35</f>
        <v>27346.739999999998</v>
      </c>
      <c r="H36" s="22">
        <f>74581.7+H35</f>
        <v>268261.08999999997</v>
      </c>
      <c r="I36" s="22">
        <f>13031.12+I35</f>
        <v>27347.660000000003</v>
      </c>
      <c r="J36" s="22">
        <f>74581.92+J35</f>
        <v>267550.73</v>
      </c>
      <c r="K36" s="22">
        <f t="shared" si="3"/>
        <v>294898.39</v>
      </c>
      <c r="L36" s="22">
        <f t="shared" si="8"/>
        <v>0.9200000000055297</v>
      </c>
      <c r="M36" s="22">
        <f t="shared" si="9"/>
        <v>-710.359999999986</v>
      </c>
      <c r="N36" s="55"/>
      <c r="O36" s="55"/>
      <c r="P36" s="38" t="s">
        <v>57</v>
      </c>
      <c r="Q36" s="51"/>
      <c r="R36" s="51"/>
      <c r="S36" s="182"/>
    </row>
    <row r="37" spans="1:19" ht="57.75" customHeight="1" thickBot="1">
      <c r="A37" s="205"/>
      <c r="B37" s="156"/>
      <c r="C37" s="46" t="s">
        <v>11</v>
      </c>
      <c r="D37" s="19" t="s">
        <v>77</v>
      </c>
      <c r="E37" s="26">
        <f>2082.74+E36</f>
        <v>17240.828999999998</v>
      </c>
      <c r="F37" s="22">
        <v>5.74</v>
      </c>
      <c r="G37" s="22">
        <f>11954.92+G36</f>
        <v>39301.659999999996</v>
      </c>
      <c r="H37" s="22">
        <f>83309.6+H36</f>
        <v>351570.68999999994</v>
      </c>
      <c r="I37" s="22">
        <f>11954.93+I36</f>
        <v>39302.590000000004</v>
      </c>
      <c r="J37" s="22">
        <f>83309.6+J36</f>
        <v>350860.32999999996</v>
      </c>
      <c r="K37" s="22">
        <f t="shared" si="3"/>
        <v>390162.92</v>
      </c>
      <c r="L37" s="22">
        <f t="shared" si="8"/>
        <v>0.930000000007567</v>
      </c>
      <c r="M37" s="22">
        <f t="shared" si="9"/>
        <v>-710.359999999986</v>
      </c>
      <c r="N37" s="55"/>
      <c r="O37" s="55"/>
      <c r="P37" s="61"/>
      <c r="Q37" s="51"/>
      <c r="R37" s="51"/>
      <c r="S37" s="182"/>
    </row>
    <row r="38" spans="1:19" s="13" customFormat="1" ht="57.75" customHeight="1" thickBot="1">
      <c r="A38" s="205"/>
      <c r="B38" s="156"/>
      <c r="C38" s="46" t="s">
        <v>11</v>
      </c>
      <c r="D38" s="19" t="s">
        <v>47</v>
      </c>
      <c r="E38" s="26">
        <f>581.72+459.66+636.24+543.6+E37</f>
        <v>19462.049</v>
      </c>
      <c r="F38" s="22">
        <v>5.74</v>
      </c>
      <c r="G38" s="35">
        <f>13653.99+G37</f>
        <v>52955.649999999994</v>
      </c>
      <c r="H38" s="35">
        <f>99954.9+H37</f>
        <v>451525.58999999997</v>
      </c>
      <c r="I38" s="22">
        <f>3339.07+2638.45+3652.02+3120.26+I37</f>
        <v>52052.39000000001</v>
      </c>
      <c r="J38" s="22">
        <f>26177.4+20684.7+28630.8+24462+J37</f>
        <v>450815.23</v>
      </c>
      <c r="K38" s="22">
        <f t="shared" si="3"/>
        <v>502867.62</v>
      </c>
      <c r="L38" s="22">
        <f t="shared" si="8"/>
        <v>-903.2599999999875</v>
      </c>
      <c r="M38" s="22">
        <f t="shared" si="9"/>
        <v>-710.359999999986</v>
      </c>
      <c r="N38" s="55"/>
      <c r="O38" s="55"/>
      <c r="P38" s="61"/>
      <c r="Q38" s="50"/>
      <c r="R38" s="50"/>
      <c r="S38" s="182"/>
    </row>
    <row r="39" spans="1:19" s="13" customFormat="1" ht="57.75" customHeight="1" thickBot="1">
      <c r="A39" s="205"/>
      <c r="B39" s="156"/>
      <c r="C39" s="46" t="s">
        <v>11</v>
      </c>
      <c r="D39" s="19" t="s">
        <v>78</v>
      </c>
      <c r="E39" s="26">
        <f>2214.76+E38</f>
        <v>21676.809</v>
      </c>
      <c r="F39" s="22">
        <v>5.74</v>
      </c>
      <c r="G39" s="30">
        <f>12712.74+G38</f>
        <v>65668.39</v>
      </c>
      <c r="H39" s="30">
        <f>126241.32+H38</f>
        <v>577766.9099999999</v>
      </c>
      <c r="I39" s="35">
        <f>12712.72+I38</f>
        <v>64765.11000000001</v>
      </c>
      <c r="J39" s="35">
        <f>126241.32+J38</f>
        <v>577056.55</v>
      </c>
      <c r="K39" s="35">
        <f>SUM(I39:J39)</f>
        <v>641821.66</v>
      </c>
      <c r="L39" s="35">
        <f>I39-G39</f>
        <v>-903.2799999999916</v>
      </c>
      <c r="M39" s="35">
        <f>J39-H39</f>
        <v>-710.3599999998696</v>
      </c>
      <c r="N39" s="55"/>
      <c r="O39" s="55"/>
      <c r="P39" s="61"/>
      <c r="Q39" s="50"/>
      <c r="R39" s="50"/>
      <c r="S39" s="182"/>
    </row>
    <row r="40" spans="1:19" s="13" customFormat="1" ht="57.75" customHeight="1" thickBot="1">
      <c r="A40" s="205"/>
      <c r="B40" s="156"/>
      <c r="C40" s="38" t="s">
        <v>11</v>
      </c>
      <c r="D40" s="37" t="s">
        <v>81</v>
      </c>
      <c r="E40" s="30">
        <f>E39+1020.26</f>
        <v>22697.069</v>
      </c>
      <c r="F40" s="35">
        <v>5.74</v>
      </c>
      <c r="G40" s="30">
        <f>G39+960.76</f>
        <v>66629.15</v>
      </c>
      <c r="H40" s="30">
        <f>H39+11549.22</f>
        <v>589316.1299999999</v>
      </c>
      <c r="I40" s="35">
        <f>I39+5856.29</f>
        <v>70621.40000000001</v>
      </c>
      <c r="J40" s="35">
        <f>J39+81481.74</f>
        <v>658538.29</v>
      </c>
      <c r="K40" s="35">
        <f>SUM(I40:J40)</f>
        <v>729159.6900000001</v>
      </c>
      <c r="L40" s="35">
        <f>I40-G40</f>
        <v>3992.2500000000146</v>
      </c>
      <c r="M40" s="35">
        <f>J40-H40</f>
        <v>69222.16000000015</v>
      </c>
      <c r="N40" s="55"/>
      <c r="O40" s="55"/>
      <c r="P40" s="135"/>
      <c r="Q40" s="50"/>
      <c r="R40" s="50"/>
      <c r="S40" s="182"/>
    </row>
    <row r="41" spans="1:19" ht="15.75" thickBot="1">
      <c r="A41" s="205"/>
      <c r="B41" s="156"/>
      <c r="C41" s="59" t="s">
        <v>12</v>
      </c>
      <c r="D41" s="60" t="s">
        <v>5</v>
      </c>
      <c r="E41" s="26">
        <v>1345.65</v>
      </c>
      <c r="F41" s="22">
        <v>0</v>
      </c>
      <c r="G41" s="22">
        <v>0</v>
      </c>
      <c r="H41" s="22">
        <v>4036.95</v>
      </c>
      <c r="I41" s="22">
        <v>0</v>
      </c>
      <c r="J41" s="22">
        <v>4036.95</v>
      </c>
      <c r="K41" s="22">
        <f t="shared" si="3"/>
        <v>4036.95</v>
      </c>
      <c r="L41" s="22">
        <f t="shared" si="8"/>
        <v>0</v>
      </c>
      <c r="M41" s="22">
        <f t="shared" si="9"/>
        <v>0</v>
      </c>
      <c r="N41" s="50"/>
      <c r="O41" s="55"/>
      <c r="P41" s="50"/>
      <c r="Q41" s="51"/>
      <c r="R41" s="51"/>
      <c r="S41" s="182"/>
    </row>
    <row r="42" spans="1:19" ht="15.75" thickBot="1">
      <c r="A42" s="205"/>
      <c r="B42" s="156"/>
      <c r="C42" s="59" t="s">
        <v>12</v>
      </c>
      <c r="D42" s="60" t="s">
        <v>6</v>
      </c>
      <c r="E42" s="26">
        <f>1196.37+E41</f>
        <v>2542.02</v>
      </c>
      <c r="F42" s="22">
        <v>0</v>
      </c>
      <c r="G42" s="22">
        <f>0+G41</f>
        <v>0</v>
      </c>
      <c r="H42" s="22">
        <f>10767.33+H41</f>
        <v>14804.279999999999</v>
      </c>
      <c r="I42" s="22">
        <f>0+I41</f>
        <v>0</v>
      </c>
      <c r="J42" s="22">
        <f>10767.33+J41</f>
        <v>14804.279999999999</v>
      </c>
      <c r="K42" s="22">
        <f t="shared" si="3"/>
        <v>14804.279999999999</v>
      </c>
      <c r="L42" s="22">
        <f t="shared" si="8"/>
        <v>0</v>
      </c>
      <c r="M42" s="22">
        <f t="shared" si="9"/>
        <v>0</v>
      </c>
      <c r="N42" s="55"/>
      <c r="O42" s="55"/>
      <c r="P42" s="50"/>
      <c r="Q42" s="51"/>
      <c r="R42" s="51"/>
      <c r="S42" s="182"/>
    </row>
    <row r="43" spans="1:19" ht="15.75" thickBot="1">
      <c r="A43" s="205"/>
      <c r="B43" s="156"/>
      <c r="C43" s="46" t="s">
        <v>12</v>
      </c>
      <c r="D43" s="19" t="s">
        <v>7</v>
      </c>
      <c r="E43" s="26">
        <f>1085.42+E42</f>
        <v>3627.44</v>
      </c>
      <c r="F43" s="21">
        <v>0</v>
      </c>
      <c r="G43" s="22">
        <f>0+G42</f>
        <v>0</v>
      </c>
      <c r="H43" s="22">
        <f>16281.3+H42</f>
        <v>31085.579999999998</v>
      </c>
      <c r="I43" s="22">
        <f>0+I42</f>
        <v>0</v>
      </c>
      <c r="J43" s="22">
        <f>16281.3+J42</f>
        <v>31085.579999999998</v>
      </c>
      <c r="K43" s="22">
        <f t="shared" si="3"/>
        <v>31085.579999999998</v>
      </c>
      <c r="L43" s="22">
        <f t="shared" si="8"/>
        <v>0</v>
      </c>
      <c r="M43" s="22">
        <f t="shared" si="9"/>
        <v>0</v>
      </c>
      <c r="N43" s="55"/>
      <c r="O43" s="55"/>
      <c r="P43" s="50"/>
      <c r="Q43" s="51"/>
      <c r="R43" s="51"/>
      <c r="S43" s="182"/>
    </row>
    <row r="44" spans="1:19" ht="15.75" thickBot="1">
      <c r="A44" s="205"/>
      <c r="B44" s="156"/>
      <c r="C44" s="46" t="s">
        <v>12</v>
      </c>
      <c r="D44" s="19" t="s">
        <v>8</v>
      </c>
      <c r="E44" s="26">
        <f>1060.94+E43</f>
        <v>4688.38</v>
      </c>
      <c r="F44" s="21">
        <v>0</v>
      </c>
      <c r="G44" s="22">
        <f>0+G43</f>
        <v>0</v>
      </c>
      <c r="H44" s="22">
        <f>23340.68+H43</f>
        <v>54426.259999999995</v>
      </c>
      <c r="I44" s="22">
        <f>0+I43</f>
        <v>0</v>
      </c>
      <c r="J44" s="22">
        <f>23340.68+J43</f>
        <v>54426.259999999995</v>
      </c>
      <c r="K44" s="22">
        <f t="shared" si="3"/>
        <v>54426.259999999995</v>
      </c>
      <c r="L44" s="22">
        <f t="shared" si="8"/>
        <v>0</v>
      </c>
      <c r="M44" s="22">
        <f t="shared" si="9"/>
        <v>0</v>
      </c>
      <c r="N44" s="62">
        <f>663.82+690.51</f>
        <v>1354.33</v>
      </c>
      <c r="O44" s="184">
        <v>9042.31</v>
      </c>
      <c r="P44" s="50"/>
      <c r="Q44" s="51"/>
      <c r="R44" s="51"/>
      <c r="S44" s="182"/>
    </row>
    <row r="45" spans="1:19" ht="15.75" thickBot="1">
      <c r="A45" s="205"/>
      <c r="B45" s="156"/>
      <c r="C45" s="46" t="s">
        <v>12</v>
      </c>
      <c r="D45" s="19" t="s">
        <v>9</v>
      </c>
      <c r="E45" s="26">
        <f>932.58+E44</f>
        <v>5620.96</v>
      </c>
      <c r="F45" s="21">
        <v>6.29</v>
      </c>
      <c r="G45" s="22">
        <f>5865.93+G44</f>
        <v>5865.93</v>
      </c>
      <c r="H45" s="22">
        <f>26112.24+H44</f>
        <v>80538.5</v>
      </c>
      <c r="I45" s="22">
        <f>5865.93+I44</f>
        <v>5865.93</v>
      </c>
      <c r="J45" s="22">
        <f>26112.24+J44</f>
        <v>80538.5</v>
      </c>
      <c r="K45" s="22">
        <f t="shared" si="3"/>
        <v>86404.43</v>
      </c>
      <c r="L45" s="22">
        <f t="shared" si="8"/>
        <v>0</v>
      </c>
      <c r="M45" s="22">
        <f t="shared" si="9"/>
        <v>0</v>
      </c>
      <c r="N45" s="62">
        <f>105.19+1312.18</f>
        <v>1417.3700000000001</v>
      </c>
      <c r="O45" s="185"/>
      <c r="P45" s="50"/>
      <c r="Q45" s="51"/>
      <c r="R45" s="51"/>
      <c r="S45" s="182"/>
    </row>
    <row r="46" spans="1:19" ht="78" customHeight="1" thickBot="1">
      <c r="A46" s="205"/>
      <c r="B46" s="156"/>
      <c r="C46" s="46" t="s">
        <v>12</v>
      </c>
      <c r="D46" s="19" t="s">
        <v>29</v>
      </c>
      <c r="E46" s="26">
        <f>996.18+E45</f>
        <v>6617.14</v>
      </c>
      <c r="F46" s="22">
        <v>6.29</v>
      </c>
      <c r="G46" s="22">
        <f>6265.97+G45</f>
        <v>12131.900000000001</v>
      </c>
      <c r="H46" s="22">
        <f>35862.48+H45</f>
        <v>116400.98000000001</v>
      </c>
      <c r="I46" s="22">
        <f>6265.97+I45</f>
        <v>12131.900000000001</v>
      </c>
      <c r="J46" s="22">
        <f>35862.48+J45</f>
        <v>116400.98000000001</v>
      </c>
      <c r="K46" s="22">
        <f t="shared" si="3"/>
        <v>128532.88</v>
      </c>
      <c r="L46" s="22">
        <f t="shared" si="8"/>
        <v>0</v>
      </c>
      <c r="M46" s="22">
        <f t="shared" si="9"/>
        <v>0</v>
      </c>
      <c r="N46" s="62">
        <f>144.32</f>
        <v>144.32</v>
      </c>
      <c r="O46" s="186"/>
      <c r="P46" s="46" t="s">
        <v>58</v>
      </c>
      <c r="Q46" s="25"/>
      <c r="R46" s="25"/>
      <c r="S46" s="182"/>
    </row>
    <row r="47" spans="1:19" ht="66" customHeight="1" thickBot="1">
      <c r="A47" s="205"/>
      <c r="B47" s="156"/>
      <c r="C47" s="46" t="s">
        <v>12</v>
      </c>
      <c r="D47" s="19" t="s">
        <v>77</v>
      </c>
      <c r="E47" s="26">
        <f>1023.52+E46</f>
        <v>7640.66</v>
      </c>
      <c r="F47" s="22">
        <v>5.74</v>
      </c>
      <c r="G47" s="22">
        <f>5875+G46</f>
        <v>18006.9</v>
      </c>
      <c r="H47" s="22">
        <f>40940.8+H46</f>
        <v>157341.78000000003</v>
      </c>
      <c r="I47" s="22">
        <f>5875+I46</f>
        <v>18006.9</v>
      </c>
      <c r="J47" s="22">
        <f>40940.8+J46</f>
        <v>157341.78000000003</v>
      </c>
      <c r="K47" s="22">
        <f t="shared" si="3"/>
        <v>175348.68000000002</v>
      </c>
      <c r="L47" s="22">
        <f t="shared" si="8"/>
        <v>0</v>
      </c>
      <c r="M47" s="22">
        <f t="shared" si="9"/>
        <v>0</v>
      </c>
      <c r="N47" s="55"/>
      <c r="O47" s="63"/>
      <c r="P47" s="59" t="s">
        <v>59</v>
      </c>
      <c r="Q47" s="25"/>
      <c r="R47" s="25"/>
      <c r="S47" s="144"/>
    </row>
    <row r="48" spans="1:19" ht="34.5" customHeight="1" thickBot="1">
      <c r="A48" s="205"/>
      <c r="B48" s="156"/>
      <c r="C48" s="46" t="s">
        <v>12</v>
      </c>
      <c r="D48" s="19" t="s">
        <v>47</v>
      </c>
      <c r="E48" s="26">
        <f>286.12+246.98+320.34+306.06+E47</f>
        <v>8800.16</v>
      </c>
      <c r="F48" s="22">
        <v>5.74</v>
      </c>
      <c r="G48" s="22">
        <f>6687.32+G47</f>
        <v>24694.22</v>
      </c>
      <c r="H48" s="22">
        <f>52426.79+H47</f>
        <v>209768.57000000004</v>
      </c>
      <c r="I48" s="22">
        <f>1642.33+1417.67+1838.75+1756.78+I47</f>
        <v>24662.43</v>
      </c>
      <c r="J48" s="22">
        <f>12875.4+11114.1+14415.3+13772.7+J47</f>
        <v>209519.28000000003</v>
      </c>
      <c r="K48" s="22">
        <f t="shared" si="3"/>
        <v>234181.71000000002</v>
      </c>
      <c r="L48" s="22">
        <f t="shared" si="8"/>
        <v>-31.790000000000873</v>
      </c>
      <c r="M48" s="22">
        <f t="shared" si="9"/>
        <v>-249.29000000000815</v>
      </c>
      <c r="N48" s="55"/>
      <c r="O48" s="63"/>
      <c r="P48" s="64"/>
      <c r="Q48" s="25"/>
      <c r="R48" s="25"/>
      <c r="S48" s="144"/>
    </row>
    <row r="49" spans="1:19" s="13" customFormat="1" ht="34.5" customHeight="1" thickBot="1">
      <c r="A49" s="205"/>
      <c r="B49" s="156"/>
      <c r="C49" s="46" t="s">
        <v>12</v>
      </c>
      <c r="D49" s="19" t="s">
        <v>78</v>
      </c>
      <c r="E49" s="26">
        <f>1195.02+E48</f>
        <v>9995.18</v>
      </c>
      <c r="F49" s="22">
        <v>5.74</v>
      </c>
      <c r="G49" s="22">
        <f>1528.68+G48</f>
        <v>26222.9</v>
      </c>
      <c r="H49" s="22">
        <f>15180.24+H48</f>
        <v>224948.81000000003</v>
      </c>
      <c r="I49" s="22">
        <f>6859.41+I48</f>
        <v>31521.84</v>
      </c>
      <c r="J49" s="22">
        <f>68116.14+J48</f>
        <v>277635.42000000004</v>
      </c>
      <c r="K49" s="22">
        <f>SUM(I49:J49)</f>
        <v>309157.26000000007</v>
      </c>
      <c r="L49" s="22">
        <f>I49-G49</f>
        <v>5298.939999999999</v>
      </c>
      <c r="M49" s="35">
        <f>J49-H49</f>
        <v>52686.610000000015</v>
      </c>
      <c r="N49" s="55"/>
      <c r="O49" s="63"/>
      <c r="P49" s="64"/>
      <c r="Q49" s="33"/>
      <c r="R49" s="33"/>
      <c r="S49" s="145"/>
    </row>
    <row r="50" spans="1:19" s="13" customFormat="1" ht="34.5" customHeight="1" thickBot="1">
      <c r="A50" s="206"/>
      <c r="B50" s="157"/>
      <c r="C50" s="38" t="s">
        <v>12</v>
      </c>
      <c r="D50" s="37" t="s">
        <v>81</v>
      </c>
      <c r="E50" s="30">
        <f>E49+599.1</f>
        <v>10594.28</v>
      </c>
      <c r="F50" s="35">
        <v>5.74</v>
      </c>
      <c r="G50" s="35">
        <f>G49+0</f>
        <v>26222.9</v>
      </c>
      <c r="H50" s="35">
        <f>H49+0</f>
        <v>224948.81000000003</v>
      </c>
      <c r="I50" s="35">
        <f>I49+3438.83</f>
        <v>34960.67</v>
      </c>
      <c r="J50" s="35">
        <f>J49+47881.58</f>
        <v>325517.00000000006</v>
      </c>
      <c r="K50" s="35">
        <f>SUM(I50:J50)</f>
        <v>360477.67000000004</v>
      </c>
      <c r="L50" s="35">
        <f>I50-G50</f>
        <v>8737.769999999997</v>
      </c>
      <c r="M50" s="35">
        <f>J50-H50</f>
        <v>100568.19000000003</v>
      </c>
      <c r="N50" s="55"/>
      <c r="O50" s="63"/>
      <c r="P50" s="64"/>
      <c r="Q50" s="33"/>
      <c r="R50" s="33"/>
      <c r="S50" s="14"/>
    </row>
    <row r="51" spans="1:19" s="17" customFormat="1" ht="24" customHeight="1" thickBot="1">
      <c r="A51" s="39"/>
      <c r="B51" s="39"/>
      <c r="C51" s="65"/>
      <c r="D51" s="42"/>
      <c r="E51" s="43"/>
      <c r="F51" s="43"/>
      <c r="G51" s="43"/>
      <c r="H51" s="43"/>
      <c r="I51" s="43"/>
      <c r="J51" s="43"/>
      <c r="K51" s="43"/>
      <c r="L51" s="43"/>
      <c r="M51" s="43"/>
      <c r="N51" s="44"/>
      <c r="O51" s="44"/>
      <c r="P51" s="44"/>
      <c r="Q51" s="45"/>
      <c r="R51" s="45"/>
      <c r="S51" s="6"/>
    </row>
    <row r="52" spans="1:19" ht="15.75" thickBot="1">
      <c r="A52" s="155">
        <v>3</v>
      </c>
      <c r="B52" s="156" t="s">
        <v>40</v>
      </c>
      <c r="C52" s="59" t="s">
        <v>31</v>
      </c>
      <c r="D52" s="60" t="s">
        <v>5</v>
      </c>
      <c r="E52" s="26">
        <v>31012.05</v>
      </c>
      <c r="F52" s="22">
        <v>3.12</v>
      </c>
      <c r="G52" s="22">
        <v>96757.6</v>
      </c>
      <c r="H52" s="22">
        <v>93036.16</v>
      </c>
      <c r="I52" s="22">
        <v>96757.6</v>
      </c>
      <c r="J52" s="22">
        <v>93036.15</v>
      </c>
      <c r="K52" s="22">
        <f aca="true" t="shared" si="10" ref="K52:K60">SUM(I52:J52)</f>
        <v>189793.75</v>
      </c>
      <c r="L52" s="22">
        <f aca="true" t="shared" si="11" ref="L52:M56">I52-G52</f>
        <v>0</v>
      </c>
      <c r="M52" s="22">
        <f t="shared" si="11"/>
        <v>-0.010000000009313226</v>
      </c>
      <c r="N52" s="49"/>
      <c r="O52" s="49"/>
      <c r="P52" s="50"/>
      <c r="Q52" s="51"/>
      <c r="R52" s="51"/>
      <c r="S52" s="181" t="s">
        <v>82</v>
      </c>
    </row>
    <row r="53" spans="1:19" ht="15.75" thickBot="1">
      <c r="A53" s="155"/>
      <c r="B53" s="156"/>
      <c r="C53" s="59" t="s">
        <v>31</v>
      </c>
      <c r="D53" s="60" t="s">
        <v>6</v>
      </c>
      <c r="E53" s="26">
        <f>22645.91+E52</f>
        <v>53657.96</v>
      </c>
      <c r="F53" s="22">
        <v>3.123</v>
      </c>
      <c r="G53" s="22">
        <f>70657.52+G52</f>
        <v>167415.12</v>
      </c>
      <c r="H53" s="22">
        <f>203820.93+H52</f>
        <v>296857.08999999997</v>
      </c>
      <c r="I53" s="22">
        <f>70655.24+I52</f>
        <v>167412.84000000003</v>
      </c>
      <c r="J53" s="22">
        <f>203813.19+J52</f>
        <v>296849.33999999997</v>
      </c>
      <c r="K53" s="22">
        <f t="shared" si="10"/>
        <v>464262.18</v>
      </c>
      <c r="L53" s="22">
        <f t="shared" si="11"/>
        <v>-2.279999999969732</v>
      </c>
      <c r="M53" s="22">
        <f t="shared" si="11"/>
        <v>-7.75</v>
      </c>
      <c r="N53" s="49"/>
      <c r="O53" s="49"/>
      <c r="P53" s="50"/>
      <c r="Q53" s="51"/>
      <c r="R53" s="51"/>
      <c r="S53" s="182"/>
    </row>
    <row r="54" spans="1:19" ht="15.75" thickBot="1">
      <c r="A54" s="155"/>
      <c r="B54" s="156"/>
      <c r="C54" s="59" t="s">
        <v>31</v>
      </c>
      <c r="D54" s="60" t="s">
        <v>7</v>
      </c>
      <c r="E54" s="20">
        <f>17531.79+E53</f>
        <v>71189.75</v>
      </c>
      <c r="F54" s="21">
        <v>3.12</v>
      </c>
      <c r="G54" s="22">
        <f>54698.63+G53</f>
        <v>222113.75</v>
      </c>
      <c r="H54" s="22">
        <f>262974.75+H53</f>
        <v>559831.84</v>
      </c>
      <c r="I54" s="22">
        <f>54699.18+I53</f>
        <v>222112.02000000002</v>
      </c>
      <c r="J54" s="22">
        <f>262976.85+J53</f>
        <v>559826.19</v>
      </c>
      <c r="K54" s="22">
        <f t="shared" si="10"/>
        <v>781938.21</v>
      </c>
      <c r="L54" s="22">
        <f t="shared" si="11"/>
        <v>-1.7299999999813735</v>
      </c>
      <c r="M54" s="22">
        <f t="shared" si="11"/>
        <v>-5.650000000023283</v>
      </c>
      <c r="N54" s="55"/>
      <c r="O54" s="55"/>
      <c r="P54" s="50"/>
      <c r="Q54" s="51"/>
      <c r="R54" s="51"/>
      <c r="S54" s="182"/>
    </row>
    <row r="55" spans="1:19" ht="15.75" thickBot="1">
      <c r="A55" s="155"/>
      <c r="B55" s="156"/>
      <c r="C55" s="46" t="s">
        <v>31</v>
      </c>
      <c r="D55" s="19" t="s">
        <v>8</v>
      </c>
      <c r="E55" s="20">
        <f>18570+E54</f>
        <v>89759.75</v>
      </c>
      <c r="F55" s="21">
        <v>3.12</v>
      </c>
      <c r="G55" s="21">
        <f>57940.29+G54</f>
        <v>280054.04</v>
      </c>
      <c r="H55" s="22">
        <f>408544.18+H54</f>
        <v>968376.02</v>
      </c>
      <c r="I55" s="22">
        <f>57938.99+I54</f>
        <v>280051.01</v>
      </c>
      <c r="J55" s="22">
        <f>408544.18+J54</f>
        <v>968370.3699999999</v>
      </c>
      <c r="K55" s="22">
        <f t="shared" si="10"/>
        <v>1248421.38</v>
      </c>
      <c r="L55" s="22">
        <f t="shared" si="11"/>
        <v>-3.029999999969732</v>
      </c>
      <c r="M55" s="22">
        <f t="shared" si="11"/>
        <v>-5.650000000139698</v>
      </c>
      <c r="N55" s="55"/>
      <c r="O55" s="55"/>
      <c r="P55" s="50"/>
      <c r="Q55" s="51"/>
      <c r="R55" s="51"/>
      <c r="S55" s="182"/>
    </row>
    <row r="56" spans="1:19" ht="15.75" thickBot="1">
      <c r="A56" s="155"/>
      <c r="B56" s="156"/>
      <c r="C56" s="46" t="s">
        <v>31</v>
      </c>
      <c r="D56" s="19" t="s">
        <v>9</v>
      </c>
      <c r="E56" s="20">
        <f>17742.91+E55</f>
        <v>107502.66</v>
      </c>
      <c r="F56" s="21">
        <v>3.12</v>
      </c>
      <c r="G56" s="21">
        <f>55357.89+G55</f>
        <v>335411.93</v>
      </c>
      <c r="H56" s="22">
        <f>496801.48+H55</f>
        <v>1465177.5</v>
      </c>
      <c r="I56" s="22">
        <f>55357.88+I55</f>
        <v>335408.89</v>
      </c>
      <c r="J56" s="22">
        <f>496801.48+J55</f>
        <v>1465171.8499999999</v>
      </c>
      <c r="K56" s="22">
        <f t="shared" si="10"/>
        <v>1800580.7399999998</v>
      </c>
      <c r="L56" s="22">
        <f t="shared" si="11"/>
        <v>-3.0399999999790452</v>
      </c>
      <c r="M56" s="22">
        <f t="shared" si="11"/>
        <v>-5.650000000139698</v>
      </c>
      <c r="N56" s="55"/>
      <c r="O56" s="55"/>
      <c r="P56" s="64"/>
      <c r="Q56" s="51"/>
      <c r="R56" s="51"/>
      <c r="S56" s="182"/>
    </row>
    <row r="57" spans="1:19" ht="101.25" customHeight="1" thickBot="1">
      <c r="A57" s="155"/>
      <c r="B57" s="156"/>
      <c r="C57" s="46" t="s">
        <v>31</v>
      </c>
      <c r="D57" s="19" t="s">
        <v>29</v>
      </c>
      <c r="E57" s="26">
        <f>15081.37+E56</f>
        <v>122584.03</v>
      </c>
      <c r="F57" s="22">
        <v>3.12</v>
      </c>
      <c r="G57" s="22">
        <f>47053.89+G56</f>
        <v>382465.82</v>
      </c>
      <c r="H57" s="22">
        <f>542929.32+H56</f>
        <v>2008106.8199999998</v>
      </c>
      <c r="I57" s="22">
        <f>47053.87+I56</f>
        <v>382462.76</v>
      </c>
      <c r="J57" s="22">
        <f>542929.32+J56</f>
        <v>2008101.17</v>
      </c>
      <c r="K57" s="22">
        <f t="shared" si="10"/>
        <v>2390563.9299999997</v>
      </c>
      <c r="L57" s="22">
        <f aca="true" t="shared" si="12" ref="L57:L85">I57-G57</f>
        <v>-3.0599999999976717</v>
      </c>
      <c r="M57" s="22">
        <f aca="true" t="shared" si="13" ref="M57:M85">J57-H57</f>
        <v>-5.649999999906868</v>
      </c>
      <c r="N57" s="55"/>
      <c r="O57" s="55"/>
      <c r="P57" s="66" t="s">
        <v>60</v>
      </c>
      <c r="Q57" s="51"/>
      <c r="R57" s="51"/>
      <c r="S57" s="182"/>
    </row>
    <row r="58" spans="1:19" ht="46.5" customHeight="1" thickBot="1">
      <c r="A58" s="155"/>
      <c r="B58" s="156"/>
      <c r="C58" s="46" t="s">
        <v>31</v>
      </c>
      <c r="D58" s="60" t="s">
        <v>77</v>
      </c>
      <c r="E58" s="30">
        <f>10291.34+E57</f>
        <v>132875.37</v>
      </c>
      <c r="F58" s="22">
        <v>1.6</v>
      </c>
      <c r="G58" s="22">
        <f>16466.14+G57</f>
        <v>398931.96</v>
      </c>
      <c r="H58" s="22">
        <f>411653.6+H57</f>
        <v>2419760.42</v>
      </c>
      <c r="I58" s="35">
        <f>16466.14+I57</f>
        <v>398928.9</v>
      </c>
      <c r="J58" s="35">
        <f>411653.6+J57</f>
        <v>2419754.77</v>
      </c>
      <c r="K58" s="35">
        <f t="shared" si="10"/>
        <v>2818683.67</v>
      </c>
      <c r="L58" s="35">
        <f aca="true" t="shared" si="14" ref="L58:L64">I58-G58</f>
        <v>-3.0599999999976717</v>
      </c>
      <c r="M58" s="35">
        <f t="shared" si="13"/>
        <v>-5.649999999906868</v>
      </c>
      <c r="N58" s="55"/>
      <c r="O58" s="55"/>
      <c r="P58" s="67"/>
      <c r="Q58" s="51"/>
      <c r="R58" s="51"/>
      <c r="S58" s="182"/>
    </row>
    <row r="59" spans="1:19" ht="46.5" customHeight="1" thickBot="1">
      <c r="A59" s="155"/>
      <c r="B59" s="156"/>
      <c r="C59" s="46" t="s">
        <v>31</v>
      </c>
      <c r="D59" s="60" t="s">
        <v>47</v>
      </c>
      <c r="E59" s="30">
        <f>2413.12+1930.12+2000.97+1805.56+E58</f>
        <v>141025.13999999998</v>
      </c>
      <c r="F59" s="22">
        <v>1.6</v>
      </c>
      <c r="G59" s="22">
        <f>13039.63+G58</f>
        <v>411971.59</v>
      </c>
      <c r="H59" s="22">
        <f>21541.95+89842.95+31974.75+103058.55+120321.45+H58</f>
        <v>2786500.07</v>
      </c>
      <c r="I59" s="35">
        <f>13039.63+I58</f>
        <v>411968.53</v>
      </c>
      <c r="J59" s="35">
        <f>108590.4+86855.4+90043.65+81250.2+J58</f>
        <v>2786494.42</v>
      </c>
      <c r="K59" s="35">
        <f t="shared" si="10"/>
        <v>3198462.95</v>
      </c>
      <c r="L59" s="35">
        <f t="shared" si="14"/>
        <v>-3.0599999999976717</v>
      </c>
      <c r="M59" s="35">
        <f t="shared" si="13"/>
        <v>-5.649999999906868</v>
      </c>
      <c r="N59" s="55"/>
      <c r="O59" s="55"/>
      <c r="P59" s="67"/>
      <c r="Q59" s="51"/>
      <c r="R59" s="51"/>
      <c r="S59" s="182"/>
    </row>
    <row r="60" spans="1:19" ht="46.5" customHeight="1" thickBot="1">
      <c r="A60" s="155"/>
      <c r="B60" s="156"/>
      <c r="C60" s="46" t="s">
        <v>43</v>
      </c>
      <c r="D60" s="60" t="s">
        <v>47</v>
      </c>
      <c r="E60" s="30">
        <f>306.74+307.06+272.3+280.42</f>
        <v>1166.52</v>
      </c>
      <c r="F60" s="22">
        <v>1.6</v>
      </c>
      <c r="G60" s="22">
        <f>76.84+439.34+197.92+536.11+616.23</f>
        <v>1866.44</v>
      </c>
      <c r="H60" s="22">
        <f>2160.9+12356.1+5566.5+15078.6+17331.3</f>
        <v>52493.399999999994</v>
      </c>
      <c r="I60" s="35">
        <f>490.79+491.3+435.67+448.67</f>
        <v>1866.43</v>
      </c>
      <c r="J60" s="35">
        <f>13803.3+13817.7+12253.5+12618.9</f>
        <v>52493.4</v>
      </c>
      <c r="K60" s="35">
        <f t="shared" si="10"/>
        <v>54359.83</v>
      </c>
      <c r="L60" s="35">
        <f t="shared" si="14"/>
        <v>-0.009999999999990905</v>
      </c>
      <c r="M60" s="35">
        <f t="shared" si="13"/>
        <v>0</v>
      </c>
      <c r="N60" s="55"/>
      <c r="O60" s="55"/>
      <c r="P60" s="67"/>
      <c r="Q60" s="51"/>
      <c r="R60" s="51"/>
      <c r="S60" s="182"/>
    </row>
    <row r="61" spans="1:19" s="13" customFormat="1" ht="132.75" customHeight="1" thickBot="1">
      <c r="A61" s="155"/>
      <c r="B61" s="156"/>
      <c r="C61" s="46" t="s">
        <v>31</v>
      </c>
      <c r="D61" s="19" t="s">
        <v>78</v>
      </c>
      <c r="E61" s="30">
        <f>7112.58+E59</f>
        <v>148137.71999999997</v>
      </c>
      <c r="F61" s="22">
        <v>1.6</v>
      </c>
      <c r="G61" s="22">
        <f>11380.11+G59</f>
        <v>423351.7</v>
      </c>
      <c r="H61" s="22">
        <f>405417.06+H59</f>
        <v>3191917.13</v>
      </c>
      <c r="I61" s="35">
        <f>11380.13+I59</f>
        <v>423348.66000000003</v>
      </c>
      <c r="J61" s="35">
        <f>405417.06+J59</f>
        <v>3191911.48</v>
      </c>
      <c r="K61" s="35">
        <f>SUM(I61:J61)</f>
        <v>3615260.14</v>
      </c>
      <c r="L61" s="35">
        <f t="shared" si="14"/>
        <v>-3.0399999999790452</v>
      </c>
      <c r="M61" s="35">
        <f>J61-H61</f>
        <v>-5.649999999906868</v>
      </c>
      <c r="N61" s="55"/>
      <c r="O61" s="55"/>
      <c r="P61" s="68"/>
      <c r="Q61" s="50"/>
      <c r="R61" s="50"/>
      <c r="S61" s="182"/>
    </row>
    <row r="62" spans="1:19" s="13" customFormat="1" ht="46.5" customHeight="1" thickBot="1">
      <c r="A62" s="155"/>
      <c r="B62" s="156"/>
      <c r="C62" s="46" t="s">
        <v>43</v>
      </c>
      <c r="D62" s="60" t="s">
        <v>78</v>
      </c>
      <c r="E62" s="30">
        <f>1713.23+E60</f>
        <v>2879.75</v>
      </c>
      <c r="F62" s="22">
        <v>1.6</v>
      </c>
      <c r="G62" s="22">
        <f>2741.19+G60</f>
        <v>4607.63</v>
      </c>
      <c r="H62" s="22">
        <f>97654.11+H60</f>
        <v>150147.51</v>
      </c>
      <c r="I62" s="35">
        <f>2741.17+I60</f>
        <v>4607.6</v>
      </c>
      <c r="J62" s="35">
        <f>97654.11+J60</f>
        <v>150147.51</v>
      </c>
      <c r="K62" s="35">
        <f>SUM(I62:J62)</f>
        <v>154755.11000000002</v>
      </c>
      <c r="L62" s="35">
        <f t="shared" si="14"/>
        <v>-0.02999999999974534</v>
      </c>
      <c r="M62" s="35">
        <f>J62-H62</f>
        <v>0</v>
      </c>
      <c r="N62" s="55"/>
      <c r="O62" s="55"/>
      <c r="P62" s="67"/>
      <c r="Q62" s="50"/>
      <c r="R62" s="50"/>
      <c r="S62" s="182"/>
    </row>
    <row r="63" spans="1:19" s="13" customFormat="1" ht="46.5" customHeight="1" thickBot="1">
      <c r="A63" s="155"/>
      <c r="B63" s="156"/>
      <c r="C63" s="38" t="s">
        <v>31</v>
      </c>
      <c r="D63" s="37" t="s">
        <v>81</v>
      </c>
      <c r="E63" s="30">
        <f>E61+4052.83</f>
        <v>152190.54999999996</v>
      </c>
      <c r="F63" s="35">
        <v>1.6</v>
      </c>
      <c r="G63" s="35">
        <f>G61+4358.75</f>
        <v>427710.45</v>
      </c>
      <c r="H63" s="35">
        <f>H61+186853.47</f>
        <v>3378770.6</v>
      </c>
      <c r="I63" s="35">
        <f>I61+6484.53</f>
        <v>429833.19000000006</v>
      </c>
      <c r="J63" s="35">
        <f>J61+328173.75</f>
        <v>3520085.23</v>
      </c>
      <c r="K63" s="35">
        <f>SUM(I63:J63)</f>
        <v>3949918.42</v>
      </c>
      <c r="L63" s="35">
        <f t="shared" si="14"/>
        <v>2122.740000000049</v>
      </c>
      <c r="M63" s="35">
        <f>J63-H63</f>
        <v>141314.6299999999</v>
      </c>
      <c r="N63" s="55"/>
      <c r="O63" s="55"/>
      <c r="P63" s="67"/>
      <c r="Q63" s="50"/>
      <c r="R63" s="50"/>
      <c r="S63" s="182"/>
    </row>
    <row r="64" spans="1:19" s="13" customFormat="1" ht="46.5" customHeight="1" thickBot="1">
      <c r="A64" s="155"/>
      <c r="B64" s="156"/>
      <c r="C64" s="38" t="s">
        <v>43</v>
      </c>
      <c r="D64" s="37" t="s">
        <v>81</v>
      </c>
      <c r="E64" s="30">
        <f>E62+545.48</f>
        <v>3425.23</v>
      </c>
      <c r="F64" s="35">
        <v>1.6</v>
      </c>
      <c r="G64" s="35">
        <f>G62+667.23</f>
        <v>5274.860000000001</v>
      </c>
      <c r="H64" s="35">
        <f>H62+32148.7</f>
        <v>182296.21000000002</v>
      </c>
      <c r="I64" s="35">
        <f>I62+872.77</f>
        <v>5480.370000000001</v>
      </c>
      <c r="J64" s="35">
        <f>J62+50806.08</f>
        <v>200953.59000000003</v>
      </c>
      <c r="K64" s="35">
        <f>SUM(I64:J64)</f>
        <v>206433.96000000002</v>
      </c>
      <c r="L64" s="35">
        <f t="shared" si="14"/>
        <v>205.51000000000022</v>
      </c>
      <c r="M64" s="35">
        <f>J64-H64</f>
        <v>18657.380000000005</v>
      </c>
      <c r="N64" s="55"/>
      <c r="O64" s="55"/>
      <c r="P64" s="67"/>
      <c r="Q64" s="50"/>
      <c r="R64" s="50"/>
      <c r="S64" s="182"/>
    </row>
    <row r="65" spans="1:19" ht="15.75" thickBot="1">
      <c r="A65" s="155"/>
      <c r="B65" s="156"/>
      <c r="C65" s="59" t="s">
        <v>32</v>
      </c>
      <c r="D65" s="60" t="s">
        <v>5</v>
      </c>
      <c r="E65" s="26">
        <v>846.61</v>
      </c>
      <c r="F65" s="22">
        <v>3.12</v>
      </c>
      <c r="G65" s="22">
        <v>2641.42</v>
      </c>
      <c r="H65" s="22">
        <v>2539.83</v>
      </c>
      <c r="I65" s="22">
        <v>2641.42</v>
      </c>
      <c r="J65" s="22">
        <v>2539.83</v>
      </c>
      <c r="K65" s="22">
        <f aca="true" t="shared" si="15" ref="K65:K72">SUM(I65:J65)</f>
        <v>5181.25</v>
      </c>
      <c r="L65" s="22">
        <f t="shared" si="12"/>
        <v>0</v>
      </c>
      <c r="M65" s="22">
        <f t="shared" si="13"/>
        <v>0</v>
      </c>
      <c r="N65" s="55"/>
      <c r="O65" s="55"/>
      <c r="P65" s="50"/>
      <c r="Q65" s="51"/>
      <c r="R65" s="51"/>
      <c r="S65" s="182"/>
    </row>
    <row r="66" spans="1:19" ht="15.75" thickBot="1">
      <c r="A66" s="155"/>
      <c r="B66" s="156"/>
      <c r="C66" s="59" t="s">
        <v>32</v>
      </c>
      <c r="D66" s="60" t="s">
        <v>6</v>
      </c>
      <c r="E66" s="26">
        <f>769.59+E65</f>
        <v>1616.2</v>
      </c>
      <c r="F66" s="22">
        <v>3.123</v>
      </c>
      <c r="G66" s="22">
        <f>2401.12+G65</f>
        <v>5042.54</v>
      </c>
      <c r="H66" s="22">
        <f>6926.31+H65</f>
        <v>9466.14</v>
      </c>
      <c r="I66" s="22">
        <f>2401.12+I65</f>
        <v>5042.54</v>
      </c>
      <c r="J66" s="22">
        <f>6926.31+J65</f>
        <v>9466.14</v>
      </c>
      <c r="K66" s="22">
        <f t="shared" si="15"/>
        <v>14508.68</v>
      </c>
      <c r="L66" s="22">
        <f t="shared" si="12"/>
        <v>0</v>
      </c>
      <c r="M66" s="22">
        <f t="shared" si="13"/>
        <v>0</v>
      </c>
      <c r="N66" s="55"/>
      <c r="O66" s="55"/>
      <c r="P66" s="50"/>
      <c r="Q66" s="51"/>
      <c r="R66" s="51"/>
      <c r="S66" s="182"/>
    </row>
    <row r="67" spans="1:19" ht="15.75" thickBot="1">
      <c r="A67" s="155"/>
      <c r="B67" s="156"/>
      <c r="C67" s="59" t="s">
        <v>32</v>
      </c>
      <c r="D67" s="60" t="s">
        <v>7</v>
      </c>
      <c r="E67" s="26">
        <f>624.06+E66</f>
        <v>2240.26</v>
      </c>
      <c r="F67" s="21">
        <v>3.12</v>
      </c>
      <c r="G67" s="22">
        <f>1947.07+G66</f>
        <v>6989.61</v>
      </c>
      <c r="H67" s="22">
        <f>9360.9+H66</f>
        <v>18827.04</v>
      </c>
      <c r="I67" s="22">
        <f>1947.07+I66</f>
        <v>6989.61</v>
      </c>
      <c r="J67" s="22">
        <f>9360.9+J66</f>
        <v>18827.04</v>
      </c>
      <c r="K67" s="22">
        <f t="shared" si="15"/>
        <v>25816.65</v>
      </c>
      <c r="L67" s="22">
        <f t="shared" si="12"/>
        <v>0</v>
      </c>
      <c r="M67" s="22">
        <f t="shared" si="13"/>
        <v>0</v>
      </c>
      <c r="N67" s="62">
        <v>126.24</v>
      </c>
      <c r="O67" s="187">
        <v>7786.73</v>
      </c>
      <c r="P67" s="50"/>
      <c r="Q67" s="51"/>
      <c r="R67" s="51"/>
      <c r="S67" s="182"/>
    </row>
    <row r="68" spans="1:19" ht="15.75" thickBot="1">
      <c r="A68" s="155"/>
      <c r="B68" s="156"/>
      <c r="C68" s="46" t="s">
        <v>32</v>
      </c>
      <c r="D68" s="19" t="s">
        <v>8</v>
      </c>
      <c r="E68" s="20">
        <f>592+E67</f>
        <v>2832.26</v>
      </c>
      <c r="F68" s="21">
        <v>3.12</v>
      </c>
      <c r="G68" s="22">
        <f>821.87+G67</f>
        <v>7811.48</v>
      </c>
      <c r="H68" s="22">
        <f>11775.21+H67</f>
        <v>30602.25</v>
      </c>
      <c r="I68" s="22">
        <f>1846.01+I67</f>
        <v>8835.619999999999</v>
      </c>
      <c r="J68" s="22">
        <f>13016.74+J67</f>
        <v>31843.78</v>
      </c>
      <c r="K68" s="22">
        <f t="shared" si="15"/>
        <v>40679.399999999994</v>
      </c>
      <c r="L68" s="22">
        <f t="shared" si="12"/>
        <v>1024.1399999999994</v>
      </c>
      <c r="M68" s="21">
        <f t="shared" si="13"/>
        <v>1241.5299999999988</v>
      </c>
      <c r="N68" s="62">
        <f>145.4+397.89</f>
        <v>543.29</v>
      </c>
      <c r="O68" s="188"/>
      <c r="P68" s="50"/>
      <c r="Q68" s="51"/>
      <c r="R68" s="51"/>
      <c r="S68" s="182"/>
    </row>
    <row r="69" spans="1:19" ht="15.75" thickBot="1">
      <c r="A69" s="155"/>
      <c r="B69" s="156"/>
      <c r="C69" s="46" t="s">
        <v>32</v>
      </c>
      <c r="D69" s="19" t="s">
        <v>9</v>
      </c>
      <c r="E69" s="20">
        <f>635.75+E68</f>
        <v>3468.01</v>
      </c>
      <c r="F69" s="21">
        <v>3.12</v>
      </c>
      <c r="G69" s="22">
        <f>1983.54+G68</f>
        <v>9795.02</v>
      </c>
      <c r="H69" s="22">
        <f>14535.08+H68</f>
        <v>45137.33</v>
      </c>
      <c r="I69" s="22">
        <f>1983.54+I68</f>
        <v>10819.16</v>
      </c>
      <c r="J69" s="22">
        <f>17801+J68</f>
        <v>49644.78</v>
      </c>
      <c r="K69" s="22">
        <f t="shared" si="15"/>
        <v>60463.94</v>
      </c>
      <c r="L69" s="22">
        <f t="shared" si="12"/>
        <v>1024.1399999999994</v>
      </c>
      <c r="M69" s="21">
        <f t="shared" si="13"/>
        <v>4507.449999999997</v>
      </c>
      <c r="N69" s="62">
        <f>65.09+993.82</f>
        <v>1058.91</v>
      </c>
      <c r="O69" s="188"/>
      <c r="P69" s="64"/>
      <c r="Q69" s="51"/>
      <c r="R69" s="51"/>
      <c r="S69" s="182"/>
    </row>
    <row r="70" spans="1:19" ht="15.75" thickBot="1">
      <c r="A70" s="155"/>
      <c r="B70" s="156"/>
      <c r="C70" s="46" t="s">
        <v>32</v>
      </c>
      <c r="D70" s="60" t="s">
        <v>29</v>
      </c>
      <c r="E70" s="26">
        <f>598.04+E69</f>
        <v>4066.05</v>
      </c>
      <c r="F70" s="22">
        <v>3.12</v>
      </c>
      <c r="G70" s="22">
        <f>990.5+495.92+G69</f>
        <v>11281.44</v>
      </c>
      <c r="H70" s="22">
        <f>11428.92+5722.2+H69</f>
        <v>62288.45</v>
      </c>
      <c r="I70" s="22">
        <f>1865.87+I69</f>
        <v>12685.029999999999</v>
      </c>
      <c r="J70" s="22">
        <f>21529.26+J69</f>
        <v>71174.04</v>
      </c>
      <c r="K70" s="22">
        <f t="shared" si="15"/>
        <v>83859.06999999999</v>
      </c>
      <c r="L70" s="22">
        <f t="shared" si="12"/>
        <v>1403.5899999999983</v>
      </c>
      <c r="M70" s="22">
        <f t="shared" si="13"/>
        <v>8885.589999999997</v>
      </c>
      <c r="N70" s="62">
        <v>91.33</v>
      </c>
      <c r="O70" s="189"/>
      <c r="P70" s="64"/>
      <c r="Q70" s="51"/>
      <c r="R70" s="51"/>
      <c r="S70" s="182"/>
    </row>
    <row r="71" spans="1:19" ht="15.75" thickBot="1">
      <c r="A71" s="155"/>
      <c r="B71" s="156"/>
      <c r="C71" s="46" t="s">
        <v>32</v>
      </c>
      <c r="D71" s="60" t="s">
        <v>77</v>
      </c>
      <c r="E71" s="30">
        <f>329.56+E70</f>
        <v>4395.610000000001</v>
      </c>
      <c r="F71" s="22">
        <v>1.6</v>
      </c>
      <c r="G71" s="22">
        <f>527.29+G70</f>
        <v>11808.73</v>
      </c>
      <c r="H71" s="22">
        <f>0+2103.6+11078.8+H70</f>
        <v>75470.84999999999</v>
      </c>
      <c r="I71" s="35">
        <f>527.3+I70</f>
        <v>13212.329999999998</v>
      </c>
      <c r="J71" s="35">
        <f>13182.4+J70</f>
        <v>84356.43999999999</v>
      </c>
      <c r="K71" s="35">
        <f t="shared" si="15"/>
        <v>97568.76999999999</v>
      </c>
      <c r="L71" s="35">
        <f t="shared" si="12"/>
        <v>1403.5999999999985</v>
      </c>
      <c r="M71" s="35">
        <f t="shared" si="13"/>
        <v>8885.589999999997</v>
      </c>
      <c r="N71" s="55"/>
      <c r="O71" s="55"/>
      <c r="P71" s="64"/>
      <c r="Q71" s="51"/>
      <c r="R71" s="51"/>
      <c r="S71" s="182"/>
    </row>
    <row r="72" spans="1:19" ht="15.75" thickBot="1">
      <c r="A72" s="155"/>
      <c r="B72" s="156"/>
      <c r="C72" s="46" t="s">
        <v>32</v>
      </c>
      <c r="D72" s="69" t="s">
        <v>47</v>
      </c>
      <c r="E72" s="30">
        <f>45.01+130.59+81.62+68.98+E71</f>
        <v>4721.81</v>
      </c>
      <c r="F72" s="22">
        <v>1.6</v>
      </c>
      <c r="G72" s="22">
        <f>521.92+G71</f>
        <v>12330.65</v>
      </c>
      <c r="H72" s="22">
        <f>14679+H71</f>
        <v>90149.84999999999</v>
      </c>
      <c r="I72" s="35">
        <f>157.79+123.17+130.59+110.37+I71</f>
        <v>13734.249999999998</v>
      </c>
      <c r="J72" s="35">
        <f>4437.9+3464.1+3672.9+3104.1+J71</f>
        <v>99035.43999999999</v>
      </c>
      <c r="K72" s="35">
        <f t="shared" si="15"/>
        <v>112769.68999999999</v>
      </c>
      <c r="L72" s="35">
        <f t="shared" si="12"/>
        <v>1403.5999999999985</v>
      </c>
      <c r="M72" s="35">
        <f t="shared" si="13"/>
        <v>8885.589999999997</v>
      </c>
      <c r="N72" s="55"/>
      <c r="O72" s="55"/>
      <c r="P72" s="64"/>
      <c r="Q72" s="51"/>
      <c r="R72" s="51"/>
      <c r="S72" s="182"/>
    </row>
    <row r="73" spans="1:19" s="13" customFormat="1" ht="26.25" customHeight="1" thickBot="1">
      <c r="A73" s="155"/>
      <c r="B73" s="156"/>
      <c r="C73" s="46" t="s">
        <v>32</v>
      </c>
      <c r="D73" s="60" t="s">
        <v>78</v>
      </c>
      <c r="E73" s="30">
        <f>272.69+E72</f>
        <v>4994.5</v>
      </c>
      <c r="F73" s="22">
        <v>1.6</v>
      </c>
      <c r="G73" s="22">
        <f>436.31+G72</f>
        <v>12766.96</v>
      </c>
      <c r="H73" s="35">
        <f>15543.32+H72</f>
        <v>105693.16999999998</v>
      </c>
      <c r="I73" s="35">
        <f>436.3+I72</f>
        <v>14170.549999999997</v>
      </c>
      <c r="J73" s="35">
        <f>15543.33+J72</f>
        <v>114578.76999999999</v>
      </c>
      <c r="K73" s="35">
        <f>SUM(I73:J73)</f>
        <v>128749.31999999999</v>
      </c>
      <c r="L73" s="35">
        <f>I73-G73</f>
        <v>1403.5899999999983</v>
      </c>
      <c r="M73" s="35">
        <f>J73-H73</f>
        <v>8885.600000000006</v>
      </c>
      <c r="N73" s="55"/>
      <c r="O73" s="55"/>
      <c r="P73" s="70" t="s">
        <v>61</v>
      </c>
      <c r="Q73" s="50"/>
      <c r="R73" s="50"/>
      <c r="S73" s="182"/>
    </row>
    <row r="74" spans="1:19" s="13" customFormat="1" ht="26.25" customHeight="1" thickBot="1">
      <c r="A74" s="155"/>
      <c r="B74" s="156"/>
      <c r="C74" s="38" t="s">
        <v>32</v>
      </c>
      <c r="D74" s="37" t="s">
        <v>81</v>
      </c>
      <c r="E74" s="30">
        <f>E73+120.41</f>
        <v>5114.91</v>
      </c>
      <c r="F74" s="35">
        <v>1.6</v>
      </c>
      <c r="G74" s="35">
        <f>G73+48.5</f>
        <v>12815.46</v>
      </c>
      <c r="H74" s="35">
        <f>H73+2879.45</f>
        <v>108572.61999999998</v>
      </c>
      <c r="I74" s="35">
        <f>I73+192.66</f>
        <v>14363.209999999997</v>
      </c>
      <c r="J74" s="35">
        <f>J73+9574.75</f>
        <v>124153.51999999999</v>
      </c>
      <c r="K74" s="35">
        <f>SUM(I74:J74)</f>
        <v>138516.72999999998</v>
      </c>
      <c r="L74" s="35">
        <f>I74-G74</f>
        <v>1547.7499999999982</v>
      </c>
      <c r="M74" s="35">
        <f>J74-H74</f>
        <v>15580.900000000009</v>
      </c>
      <c r="N74" s="152"/>
      <c r="O74" s="55"/>
      <c r="P74" s="70"/>
      <c r="Q74" s="50"/>
      <c r="R74" s="50"/>
      <c r="S74" s="182"/>
    </row>
    <row r="75" spans="1:19" ht="15.75" thickBot="1">
      <c r="A75" s="155"/>
      <c r="B75" s="156"/>
      <c r="C75" s="59" t="s">
        <v>33</v>
      </c>
      <c r="D75" s="60" t="s">
        <v>5</v>
      </c>
      <c r="E75" s="26">
        <v>3504.5</v>
      </c>
      <c r="F75" s="22">
        <v>3.12</v>
      </c>
      <c r="G75" s="22">
        <v>10934.04</v>
      </c>
      <c r="H75" s="22">
        <v>10513.5</v>
      </c>
      <c r="I75" s="22">
        <v>10934.04</v>
      </c>
      <c r="J75" s="22">
        <v>10513.5</v>
      </c>
      <c r="K75" s="22">
        <f aca="true" t="shared" si="16" ref="K75:K82">SUM(I75:J75)</f>
        <v>21447.54</v>
      </c>
      <c r="L75" s="21">
        <f t="shared" si="12"/>
        <v>0</v>
      </c>
      <c r="M75" s="21">
        <f t="shared" si="13"/>
        <v>0</v>
      </c>
      <c r="N75" s="55"/>
      <c r="O75" s="55"/>
      <c r="P75" s="50"/>
      <c r="Q75" s="51"/>
      <c r="R75" s="51"/>
      <c r="S75" s="182"/>
    </row>
    <row r="76" spans="1:19" ht="15.75" thickBot="1">
      <c r="A76" s="155"/>
      <c r="B76" s="156"/>
      <c r="C76" s="59" t="s">
        <v>33</v>
      </c>
      <c r="D76" s="60" t="s">
        <v>6</v>
      </c>
      <c r="E76" s="26">
        <f>3716.5+E75</f>
        <v>7221</v>
      </c>
      <c r="F76" s="22">
        <v>3.123</v>
      </c>
      <c r="G76" s="22">
        <f>11595.48+G75</f>
        <v>22529.52</v>
      </c>
      <c r="H76" s="22">
        <f>33448.5+H75</f>
        <v>43962</v>
      </c>
      <c r="I76" s="22">
        <f>11595.48+I75</f>
        <v>22529.52</v>
      </c>
      <c r="J76" s="22">
        <f>33448.5+J75</f>
        <v>43962</v>
      </c>
      <c r="K76" s="22">
        <f t="shared" si="16"/>
        <v>66491.52</v>
      </c>
      <c r="L76" s="21">
        <f t="shared" si="12"/>
        <v>0</v>
      </c>
      <c r="M76" s="21">
        <f t="shared" si="13"/>
        <v>0</v>
      </c>
      <c r="N76" s="55"/>
      <c r="O76" s="55"/>
      <c r="P76" s="50"/>
      <c r="Q76" s="51"/>
      <c r="R76" s="51"/>
      <c r="S76" s="182"/>
    </row>
    <row r="77" spans="1:19" ht="15.75" thickBot="1">
      <c r="A77" s="155"/>
      <c r="B77" s="156"/>
      <c r="C77" s="59" t="s">
        <v>33</v>
      </c>
      <c r="D77" s="60" t="s">
        <v>7</v>
      </c>
      <c r="E77" s="26">
        <f>3351.7+E76</f>
        <v>10572.7</v>
      </c>
      <c r="F77" s="21">
        <v>3.12</v>
      </c>
      <c r="G77" s="22">
        <f>10457.3+G76</f>
        <v>32986.82</v>
      </c>
      <c r="H77" s="22">
        <f>50275.5+H76</f>
        <v>94237.5</v>
      </c>
      <c r="I77" s="22">
        <f>10457.3+I76</f>
        <v>32986.82</v>
      </c>
      <c r="J77" s="22">
        <f>50275.5+J76</f>
        <v>94237.5</v>
      </c>
      <c r="K77" s="22">
        <f t="shared" si="16"/>
        <v>127224.32</v>
      </c>
      <c r="L77" s="21">
        <f t="shared" si="12"/>
        <v>0</v>
      </c>
      <c r="M77" s="21">
        <f t="shared" si="13"/>
        <v>0</v>
      </c>
      <c r="N77" s="55"/>
      <c r="O77" s="55"/>
      <c r="P77" s="50"/>
      <c r="Q77" s="51"/>
      <c r="R77" s="51"/>
      <c r="S77" s="182"/>
    </row>
    <row r="78" spans="1:19" ht="15.75" thickBot="1">
      <c r="A78" s="155"/>
      <c r="B78" s="156"/>
      <c r="C78" s="46" t="s">
        <v>33</v>
      </c>
      <c r="D78" s="19" t="s">
        <v>8</v>
      </c>
      <c r="E78" s="20">
        <f>3400+E77</f>
        <v>13972.7</v>
      </c>
      <c r="F78" s="21">
        <v>3.12</v>
      </c>
      <c r="G78" s="21">
        <f>10608.22+G77</f>
        <v>43595.04</v>
      </c>
      <c r="H78" s="22">
        <f>74801.54+H77</f>
        <v>169039.03999999998</v>
      </c>
      <c r="I78" s="22">
        <f>10608.22+I77</f>
        <v>43595.04</v>
      </c>
      <c r="J78" s="22">
        <f>74801.54+J77</f>
        <v>169039.03999999998</v>
      </c>
      <c r="K78" s="22">
        <f t="shared" si="16"/>
        <v>212634.08</v>
      </c>
      <c r="L78" s="21">
        <f t="shared" si="12"/>
        <v>0</v>
      </c>
      <c r="M78" s="21">
        <f t="shared" si="13"/>
        <v>0</v>
      </c>
      <c r="N78" s="55"/>
      <c r="O78" s="71"/>
      <c r="P78" s="50"/>
      <c r="Q78" s="51"/>
      <c r="R78" s="51"/>
      <c r="S78" s="182"/>
    </row>
    <row r="79" spans="1:19" ht="315.75" thickBot="1">
      <c r="A79" s="155"/>
      <c r="B79" s="156"/>
      <c r="C79" s="46" t="s">
        <v>33</v>
      </c>
      <c r="D79" s="19" t="s">
        <v>9</v>
      </c>
      <c r="E79" s="20">
        <f>3328.54+E78</f>
        <v>17301.24</v>
      </c>
      <c r="F79" s="21">
        <v>3.12</v>
      </c>
      <c r="G79" s="21">
        <f>10385.05+G78</f>
        <v>53980.09</v>
      </c>
      <c r="H79" s="72">
        <f>93199.12+H78</f>
        <v>262238.16</v>
      </c>
      <c r="I79" s="22">
        <f>10385.04+I78</f>
        <v>53980.08</v>
      </c>
      <c r="J79" s="22">
        <f>93199.12+J78</f>
        <v>262238.16</v>
      </c>
      <c r="K79" s="22">
        <f t="shared" si="16"/>
        <v>316218.24</v>
      </c>
      <c r="L79" s="21">
        <f t="shared" si="12"/>
        <v>-0.00999999999476131</v>
      </c>
      <c r="M79" s="21">
        <f t="shared" si="13"/>
        <v>0</v>
      </c>
      <c r="N79" s="55"/>
      <c r="O79" s="71"/>
      <c r="P79" s="70" t="s">
        <v>62</v>
      </c>
      <c r="Q79" s="51"/>
      <c r="R79" s="51"/>
      <c r="S79" s="182"/>
    </row>
    <row r="80" spans="1:19" ht="300.75" thickBot="1">
      <c r="A80" s="155"/>
      <c r="B80" s="156"/>
      <c r="C80" s="46" t="s">
        <v>33</v>
      </c>
      <c r="D80" s="60" t="s">
        <v>29</v>
      </c>
      <c r="E80" s="26">
        <f>3036.17+E79</f>
        <v>20337.410000000003</v>
      </c>
      <c r="F80" s="22">
        <v>3.12</v>
      </c>
      <c r="G80" s="22">
        <f>9611.46+G79</f>
        <v>63591.549999999996</v>
      </c>
      <c r="H80" s="22">
        <f>110901.6+H79</f>
        <v>373139.76</v>
      </c>
      <c r="I80" s="22">
        <f>9472.85+I79</f>
        <v>63452.93</v>
      </c>
      <c r="J80" s="22">
        <f>109302.12+J79</f>
        <v>371540.27999999997</v>
      </c>
      <c r="K80" s="22">
        <f t="shared" si="16"/>
        <v>434993.20999999996</v>
      </c>
      <c r="L80" s="22">
        <f t="shared" si="12"/>
        <v>-138.61999999999534</v>
      </c>
      <c r="M80" s="22">
        <f>J80-H80</f>
        <v>-1599.4800000000396</v>
      </c>
      <c r="N80" s="55"/>
      <c r="O80" s="71"/>
      <c r="P80" s="70" t="s">
        <v>63</v>
      </c>
      <c r="Q80" s="51"/>
      <c r="R80" s="51"/>
      <c r="S80" s="182"/>
    </row>
    <row r="81" spans="1:19" ht="15.75" thickBot="1">
      <c r="A81" s="155"/>
      <c r="B81" s="156"/>
      <c r="C81" s="46" t="s">
        <v>33</v>
      </c>
      <c r="D81" s="60" t="s">
        <v>77</v>
      </c>
      <c r="E81" s="30">
        <f>1865.56+E80</f>
        <v>22202.970000000005</v>
      </c>
      <c r="F81" s="22">
        <v>1.6</v>
      </c>
      <c r="G81" s="22">
        <f>2984.89+G80</f>
        <v>66576.44</v>
      </c>
      <c r="H81" s="22">
        <f>74622.4+H80</f>
        <v>447762.16000000003</v>
      </c>
      <c r="I81" s="35">
        <f>2984.9+I80</f>
        <v>66437.83</v>
      </c>
      <c r="J81" s="35">
        <f>74622.4+J80</f>
        <v>446162.67999999993</v>
      </c>
      <c r="K81" s="35">
        <f t="shared" si="16"/>
        <v>512600.50999999995</v>
      </c>
      <c r="L81" s="35">
        <f t="shared" si="12"/>
        <v>-138.61000000000058</v>
      </c>
      <c r="M81" s="35">
        <f>J81-H81</f>
        <v>-1599.4800000000978</v>
      </c>
      <c r="N81" s="55"/>
      <c r="O81" s="121">
        <v>928.36</v>
      </c>
      <c r="P81" s="73"/>
      <c r="Q81" s="51"/>
      <c r="R81" s="51"/>
      <c r="S81" s="182"/>
    </row>
    <row r="82" spans="1:19" s="13" customFormat="1" ht="18" customHeight="1" thickBot="1">
      <c r="A82" s="155"/>
      <c r="B82" s="156"/>
      <c r="C82" s="46" t="s">
        <v>33</v>
      </c>
      <c r="D82" s="60" t="s">
        <v>47</v>
      </c>
      <c r="E82" s="30">
        <f>534.97+496.57+452.06+429.83+E81</f>
        <v>24116.400000000005</v>
      </c>
      <c r="F82" s="22">
        <v>1.6</v>
      </c>
      <c r="G82" s="22">
        <f>1168.05+807.14+344.7+449.81+291.79+G81</f>
        <v>69637.93000000001</v>
      </c>
      <c r="H82" s="22">
        <f>32851.35+22700.7+16015.81+6329.84+8206.65+H81</f>
        <v>533866.51</v>
      </c>
      <c r="I82" s="35">
        <f>855.95+794.51+723.3+687.73+I81</f>
        <v>69499.32</v>
      </c>
      <c r="J82" s="35">
        <f>24073.65+22345.65+20342.7+19342.35+J81</f>
        <v>532267.0299999999</v>
      </c>
      <c r="K82" s="35">
        <f t="shared" si="16"/>
        <v>601766.3499999999</v>
      </c>
      <c r="L82" s="35">
        <f t="shared" si="12"/>
        <v>-138.61000000000058</v>
      </c>
      <c r="M82" s="35">
        <f>J82-H82</f>
        <v>-1599.4800000000978</v>
      </c>
      <c r="N82" s="55"/>
      <c r="O82" s="120"/>
      <c r="P82" s="73"/>
      <c r="Q82" s="50"/>
      <c r="R82" s="50"/>
      <c r="S82" s="182"/>
    </row>
    <row r="83" spans="1:19" s="13" customFormat="1" ht="26.25" customHeight="1" thickBot="1">
      <c r="A83" s="155"/>
      <c r="B83" s="156"/>
      <c r="C83" s="46" t="s">
        <v>33</v>
      </c>
      <c r="D83" s="60" t="s">
        <v>78</v>
      </c>
      <c r="E83" s="30">
        <f>1773.35+E82</f>
        <v>25889.750000000004</v>
      </c>
      <c r="F83" s="22">
        <v>1.6</v>
      </c>
      <c r="G83" s="22">
        <f>G82</f>
        <v>69637.93000000001</v>
      </c>
      <c r="H83" s="22">
        <f>H82</f>
        <v>533866.51</v>
      </c>
      <c r="I83" s="35">
        <f>2837.36+I82</f>
        <v>72336.68000000001</v>
      </c>
      <c r="J83" s="35">
        <f>101080.95+J82</f>
        <v>633347.9799999999</v>
      </c>
      <c r="K83" s="35">
        <f>SUM(I83:J83)</f>
        <v>705684.6599999999</v>
      </c>
      <c r="L83" s="35">
        <f>I83-G83</f>
        <v>2698.75</v>
      </c>
      <c r="M83" s="35">
        <f>J83-H83</f>
        <v>99481.46999999986</v>
      </c>
      <c r="N83" s="55"/>
      <c r="O83" s="71"/>
      <c r="P83" s="73"/>
      <c r="Q83" s="50"/>
      <c r="R83" s="50"/>
      <c r="S83" s="182"/>
    </row>
    <row r="84" spans="1:19" s="13" customFormat="1" ht="26.25" customHeight="1" thickBot="1">
      <c r="A84" s="155"/>
      <c r="B84" s="156"/>
      <c r="C84" s="38" t="s">
        <v>33</v>
      </c>
      <c r="D84" s="37" t="s">
        <v>81</v>
      </c>
      <c r="E84" s="30">
        <f>E83+906.93</f>
        <v>26796.680000000004</v>
      </c>
      <c r="F84" s="35">
        <v>1.6</v>
      </c>
      <c r="G84" s="35">
        <f>G83+0</f>
        <v>69637.93000000001</v>
      </c>
      <c r="H84" s="35">
        <f>H83+0</f>
        <v>533866.51</v>
      </c>
      <c r="I84" s="35">
        <f>I83+1451.09</f>
        <v>73787.77</v>
      </c>
      <c r="J84" s="35">
        <f>J83+73677.31</f>
        <v>707025.2899999998</v>
      </c>
      <c r="K84" s="35">
        <f>SUM(I84:J84)</f>
        <v>780813.0599999998</v>
      </c>
      <c r="L84" s="35">
        <f>I84-G84</f>
        <v>4149.8399999999965</v>
      </c>
      <c r="M84" s="35">
        <f>J84-H84</f>
        <v>173158.7799999998</v>
      </c>
      <c r="N84" s="55"/>
      <c r="O84" s="71"/>
      <c r="P84" s="73"/>
      <c r="Q84" s="50"/>
      <c r="R84" s="50"/>
      <c r="S84" s="182"/>
    </row>
    <row r="85" spans="1:19" ht="28.5" customHeight="1" thickBot="1">
      <c r="A85" s="155"/>
      <c r="B85" s="157"/>
      <c r="C85" s="59" t="s">
        <v>34</v>
      </c>
      <c r="D85" s="60" t="s">
        <v>38</v>
      </c>
      <c r="E85" s="26">
        <v>739.77</v>
      </c>
      <c r="F85" s="22">
        <v>3.12</v>
      </c>
      <c r="G85" s="22">
        <v>2308.09</v>
      </c>
      <c r="H85" s="22">
        <f>595.09+26036.63</f>
        <v>26631.72</v>
      </c>
      <c r="I85" s="35">
        <f>2308.08</f>
        <v>2308.08</v>
      </c>
      <c r="J85" s="35">
        <v>26631.72</v>
      </c>
      <c r="K85" s="35">
        <f>SUM(I85:J85)</f>
        <v>28939.800000000003</v>
      </c>
      <c r="L85" s="35">
        <f t="shared" si="12"/>
        <v>-0.010000000000218279</v>
      </c>
      <c r="M85" s="35">
        <f t="shared" si="13"/>
        <v>0</v>
      </c>
      <c r="N85" s="55"/>
      <c r="O85" s="71"/>
      <c r="P85" s="64"/>
      <c r="Q85" s="25"/>
      <c r="R85" s="25"/>
      <c r="S85" s="183"/>
    </row>
    <row r="86" spans="1:19" s="17" customFormat="1" ht="15.75" thickBot="1">
      <c r="A86" s="39"/>
      <c r="B86" s="74"/>
      <c r="C86" s="65"/>
      <c r="D86" s="42"/>
      <c r="E86" s="43"/>
      <c r="F86" s="43"/>
      <c r="G86" s="43"/>
      <c r="H86" s="43"/>
      <c r="I86" s="43"/>
      <c r="J86" s="43"/>
      <c r="K86" s="43"/>
      <c r="L86" s="43"/>
      <c r="M86" s="43"/>
      <c r="N86" s="44"/>
      <c r="O86" s="44"/>
      <c r="P86" s="44"/>
      <c r="Q86" s="45"/>
      <c r="R86" s="45"/>
      <c r="S86" s="143"/>
    </row>
    <row r="87" spans="1:21" ht="15.75" customHeight="1" thickBot="1">
      <c r="A87" s="162">
        <v>4</v>
      </c>
      <c r="B87" s="158" t="s">
        <v>84</v>
      </c>
      <c r="C87" s="75" t="s">
        <v>35</v>
      </c>
      <c r="D87" s="60" t="s">
        <v>5</v>
      </c>
      <c r="E87" s="76">
        <v>2290</v>
      </c>
      <c r="F87" s="77">
        <v>4.52</v>
      </c>
      <c r="G87" s="72">
        <v>11166.39</v>
      </c>
      <c r="H87" s="72">
        <v>9953.34</v>
      </c>
      <c r="I87" s="72">
        <v>11166.39</v>
      </c>
      <c r="J87" s="72">
        <v>9953.34</v>
      </c>
      <c r="K87" s="72">
        <f aca="true" t="shared" si="17" ref="K87:K124">SUM(I87:J87)</f>
        <v>21119.73</v>
      </c>
      <c r="L87" s="72">
        <f aca="true" t="shared" si="18" ref="L87:L127">I87-G87</f>
        <v>0</v>
      </c>
      <c r="M87" s="72">
        <f aca="true" t="shared" si="19" ref="M87:M127">J87-H87</f>
        <v>0</v>
      </c>
      <c r="N87" s="78"/>
      <c r="O87" s="78"/>
      <c r="P87" s="79"/>
      <c r="Q87" s="25"/>
      <c r="R87" s="25"/>
      <c r="S87" s="179" t="s">
        <v>83</v>
      </c>
      <c r="T87" s="3"/>
      <c r="U87" s="3"/>
    </row>
    <row r="88" spans="1:21" ht="15.75" thickBot="1">
      <c r="A88" s="159"/>
      <c r="B88" s="159"/>
      <c r="C88" s="75" t="s">
        <v>35</v>
      </c>
      <c r="D88" s="60" t="s">
        <v>6</v>
      </c>
      <c r="E88" s="76">
        <f>2083+E87</f>
        <v>4373</v>
      </c>
      <c r="F88" s="80">
        <v>5.06</v>
      </c>
      <c r="G88" s="72">
        <f>10540+G87</f>
        <v>21706.39</v>
      </c>
      <c r="H88" s="72">
        <f>18747+H87</f>
        <v>28700.34</v>
      </c>
      <c r="I88" s="72">
        <f>10539.98+I87</f>
        <v>21706.37</v>
      </c>
      <c r="J88" s="72">
        <f>18747+J87</f>
        <v>28700.34</v>
      </c>
      <c r="K88" s="72">
        <f t="shared" si="17"/>
        <v>50406.71</v>
      </c>
      <c r="L88" s="72">
        <f t="shared" si="18"/>
        <v>-0.020000000000436557</v>
      </c>
      <c r="M88" s="72">
        <f t="shared" si="19"/>
        <v>0</v>
      </c>
      <c r="N88" s="78"/>
      <c r="O88" s="78"/>
      <c r="P88" s="79"/>
      <c r="Q88" s="25"/>
      <c r="R88" s="25"/>
      <c r="S88" s="180"/>
      <c r="T88" s="3"/>
      <c r="U88" s="3"/>
    </row>
    <row r="89" spans="1:21" ht="15.75" thickBot="1">
      <c r="A89" s="159"/>
      <c r="B89" s="159"/>
      <c r="C89" s="75" t="s">
        <v>35</v>
      </c>
      <c r="D89" s="60" t="s">
        <v>7</v>
      </c>
      <c r="E89" s="76">
        <f>1791.52+E88</f>
        <v>6164.52</v>
      </c>
      <c r="F89" s="80">
        <v>5.74</v>
      </c>
      <c r="G89" s="72">
        <f>10283.44+G88</f>
        <v>31989.83</v>
      </c>
      <c r="H89" s="72">
        <f>26873.1+H88</f>
        <v>55573.44</v>
      </c>
      <c r="I89" s="72">
        <f>10283.32+I88</f>
        <v>31989.69</v>
      </c>
      <c r="J89" s="72">
        <f>26872.8+J88</f>
        <v>55573.14</v>
      </c>
      <c r="K89" s="72">
        <f t="shared" si="17"/>
        <v>87562.83</v>
      </c>
      <c r="L89" s="72">
        <f t="shared" si="18"/>
        <v>-0.1400000000030559</v>
      </c>
      <c r="M89" s="72">
        <f t="shared" si="19"/>
        <v>-0.3000000000029104</v>
      </c>
      <c r="N89" s="78"/>
      <c r="O89" s="78"/>
      <c r="P89" s="79"/>
      <c r="Q89" s="25"/>
      <c r="R89" s="25"/>
      <c r="S89" s="180"/>
      <c r="T89" s="3"/>
      <c r="U89" s="3"/>
    </row>
    <row r="90" spans="1:21" ht="15.75" thickBot="1">
      <c r="A90" s="159"/>
      <c r="B90" s="159"/>
      <c r="C90" s="81" t="s">
        <v>35</v>
      </c>
      <c r="D90" s="19" t="s">
        <v>8</v>
      </c>
      <c r="E90" s="76">
        <f>1939+E89</f>
        <v>8103.52</v>
      </c>
      <c r="F90" s="82">
        <v>6.43</v>
      </c>
      <c r="G90" s="72">
        <f>12466.94+G89</f>
        <v>44456.770000000004</v>
      </c>
      <c r="H90" s="72">
        <f>42655.14+H89</f>
        <v>98228.58</v>
      </c>
      <c r="I90" s="72">
        <f>12466.93+I89</f>
        <v>44456.619999999995</v>
      </c>
      <c r="J90" s="72">
        <f>42655.14+J89</f>
        <v>98228.28</v>
      </c>
      <c r="K90" s="72">
        <f t="shared" si="17"/>
        <v>142684.9</v>
      </c>
      <c r="L90" s="72">
        <f t="shared" si="18"/>
        <v>-0.15000000000873115</v>
      </c>
      <c r="M90" s="72">
        <f t="shared" si="19"/>
        <v>-0.3000000000029104</v>
      </c>
      <c r="N90" s="78"/>
      <c r="O90" s="78"/>
      <c r="P90" s="79"/>
      <c r="Q90" s="25"/>
      <c r="R90" s="25"/>
      <c r="S90" s="180"/>
      <c r="T90" s="3"/>
      <c r="U90" s="3"/>
    </row>
    <row r="91" spans="1:21" ht="210.75" thickBot="1">
      <c r="A91" s="159"/>
      <c r="B91" s="159"/>
      <c r="C91" s="81" t="s">
        <v>35</v>
      </c>
      <c r="D91" s="19" t="s">
        <v>9</v>
      </c>
      <c r="E91" s="76">
        <f>1990.54+E90</f>
        <v>10094.060000000001</v>
      </c>
      <c r="F91" s="80">
        <v>6.43</v>
      </c>
      <c r="G91" s="83">
        <f>12799.17+G90</f>
        <v>57255.94</v>
      </c>
      <c r="H91" s="83">
        <f>55735.12+H90</f>
        <v>153963.7</v>
      </c>
      <c r="I91" s="72">
        <f>12799.17+I90</f>
        <v>57255.78999999999</v>
      </c>
      <c r="J91" s="72">
        <f>55735.12+J90</f>
        <v>153963.4</v>
      </c>
      <c r="K91" s="72">
        <f t="shared" si="17"/>
        <v>211219.19</v>
      </c>
      <c r="L91" s="72">
        <f t="shared" si="18"/>
        <v>-0.15000000000873115</v>
      </c>
      <c r="M91" s="72">
        <f t="shared" si="19"/>
        <v>-0.3000000000174623</v>
      </c>
      <c r="N91" s="137">
        <v>3355.23</v>
      </c>
      <c r="O91" s="194">
        <f>4287.12+8612.22+4173.04</f>
        <v>17072.38</v>
      </c>
      <c r="P91" s="84" t="s">
        <v>64</v>
      </c>
      <c r="Q91" s="25"/>
      <c r="R91" s="25"/>
      <c r="S91" s="180"/>
      <c r="T91" s="3"/>
      <c r="U91" s="3"/>
    </row>
    <row r="92" spans="1:21" ht="225.75" thickBot="1">
      <c r="A92" s="159"/>
      <c r="B92" s="159"/>
      <c r="C92" s="81" t="s">
        <v>35</v>
      </c>
      <c r="D92" s="19" t="s">
        <v>29</v>
      </c>
      <c r="E92" s="76">
        <f>1311.67+E91</f>
        <v>11405.730000000001</v>
      </c>
      <c r="F92" s="80">
        <v>6.43</v>
      </c>
      <c r="G92" s="83">
        <f>2319.75+G91</f>
        <v>59575.69</v>
      </c>
      <c r="H92" s="83">
        <f>13051.49+H91</f>
        <v>167015.19</v>
      </c>
      <c r="I92" s="72">
        <f>8434.04+I91</f>
        <v>65689.82999999999</v>
      </c>
      <c r="J92" s="72">
        <f>47220.12+J91</f>
        <v>201183.52</v>
      </c>
      <c r="K92" s="72">
        <f t="shared" si="17"/>
        <v>266873.35</v>
      </c>
      <c r="L92" s="72">
        <f t="shared" si="18"/>
        <v>6114.139999999985</v>
      </c>
      <c r="M92" s="72">
        <f t="shared" si="19"/>
        <v>34168.32999999999</v>
      </c>
      <c r="N92" s="137">
        <v>124.77</v>
      </c>
      <c r="O92" s="195"/>
      <c r="P92" s="84" t="s">
        <v>65</v>
      </c>
      <c r="Q92" s="25"/>
      <c r="R92" s="25"/>
      <c r="S92" s="180"/>
      <c r="T92" s="3"/>
      <c r="U92" s="3"/>
    </row>
    <row r="93" spans="1:21" ht="165.75" thickBot="1">
      <c r="A93" s="159"/>
      <c r="B93" s="159"/>
      <c r="C93" s="81" t="s">
        <v>35</v>
      </c>
      <c r="D93" s="19" t="s">
        <v>45</v>
      </c>
      <c r="E93" s="76">
        <f>1339.94+E92</f>
        <v>12745.670000000002</v>
      </c>
      <c r="F93" s="85">
        <v>3.11</v>
      </c>
      <c r="G93" s="72">
        <f>1112.42+G92</f>
        <v>60688.11</v>
      </c>
      <c r="H93" s="72">
        <f>14308+H92</f>
        <v>181323.19</v>
      </c>
      <c r="I93" s="72">
        <f>4167.21+I92</f>
        <v>69857.04</v>
      </c>
      <c r="J93" s="72">
        <f>53597.6+J92</f>
        <v>254781.12</v>
      </c>
      <c r="K93" s="72">
        <f t="shared" si="17"/>
        <v>324638.16</v>
      </c>
      <c r="L93" s="72">
        <f t="shared" si="18"/>
        <v>9168.929999999993</v>
      </c>
      <c r="M93" s="72">
        <f t="shared" si="19"/>
        <v>73457.93</v>
      </c>
      <c r="N93" s="55"/>
      <c r="O93" s="55"/>
      <c r="P93" s="84" t="s">
        <v>66</v>
      </c>
      <c r="Q93" s="25"/>
      <c r="R93" s="25"/>
      <c r="S93" s="180"/>
      <c r="T93" s="3"/>
      <c r="U93" s="3"/>
    </row>
    <row r="94" spans="1:21" ht="15.75" thickBot="1">
      <c r="A94" s="159"/>
      <c r="B94" s="159"/>
      <c r="C94" s="81" t="s">
        <v>35</v>
      </c>
      <c r="D94" s="19" t="s">
        <v>47</v>
      </c>
      <c r="E94" s="76">
        <f>303.49+311.78+288.3+324.4+E93</f>
        <v>13973.640000000001</v>
      </c>
      <c r="F94" s="85">
        <v>3.11</v>
      </c>
      <c r="G94" s="72">
        <f>0+G93</f>
        <v>60688.11</v>
      </c>
      <c r="H94" s="72">
        <f>0+H93</f>
        <v>181323.19</v>
      </c>
      <c r="I94" s="72">
        <f>3818.99+I93</f>
        <v>73676.03</v>
      </c>
      <c r="J94" s="72">
        <f>13657.05+12973.5+14598+14030.1+J93</f>
        <v>310039.77</v>
      </c>
      <c r="K94" s="72">
        <f t="shared" si="17"/>
        <v>383715.80000000005</v>
      </c>
      <c r="L94" s="72">
        <f t="shared" si="18"/>
        <v>12987.919999999998</v>
      </c>
      <c r="M94" s="72">
        <f t="shared" si="19"/>
        <v>128716.58000000002</v>
      </c>
      <c r="N94" s="55"/>
      <c r="O94" s="55"/>
      <c r="P94" s="84"/>
      <c r="Q94" s="25"/>
      <c r="R94" s="25"/>
      <c r="S94" s="180"/>
      <c r="T94" s="3"/>
      <c r="U94" s="3"/>
    </row>
    <row r="95" spans="1:21" ht="14.25" customHeight="1" thickBot="1">
      <c r="A95" s="159"/>
      <c r="B95" s="159"/>
      <c r="C95" s="81" t="s">
        <v>43</v>
      </c>
      <c r="D95" s="19" t="s">
        <v>47</v>
      </c>
      <c r="E95" s="76">
        <f>33.48+43.58+12.83+30.12</f>
        <v>120.01</v>
      </c>
      <c r="F95" s="85">
        <v>3.11</v>
      </c>
      <c r="G95" s="72">
        <f>0+59.09</f>
        <v>59.09</v>
      </c>
      <c r="H95" s="72">
        <f>0+855</f>
        <v>855</v>
      </c>
      <c r="I95" s="72">
        <f>373.23</f>
        <v>373.23</v>
      </c>
      <c r="J95" s="72">
        <f>1488.6+1979.1+577.35+1355.4</f>
        <v>5400.45</v>
      </c>
      <c r="K95" s="72">
        <f t="shared" si="17"/>
        <v>5773.68</v>
      </c>
      <c r="L95" s="72">
        <f t="shared" si="18"/>
        <v>314.14</v>
      </c>
      <c r="M95" s="72">
        <f t="shared" si="19"/>
        <v>4545.45</v>
      </c>
      <c r="N95" s="55"/>
      <c r="O95" s="55"/>
      <c r="P95" s="86"/>
      <c r="Q95" s="25"/>
      <c r="R95" s="25"/>
      <c r="S95" s="180"/>
      <c r="T95" s="3"/>
      <c r="U95" s="3"/>
    </row>
    <row r="96" spans="1:21" s="13" customFormat="1" ht="298.5" customHeight="1" thickBot="1">
      <c r="A96" s="159"/>
      <c r="B96" s="159"/>
      <c r="C96" s="81" t="s">
        <v>35</v>
      </c>
      <c r="D96" s="19" t="s">
        <v>78</v>
      </c>
      <c r="E96" s="76">
        <f>1234.43+E94</f>
        <v>15208.070000000002</v>
      </c>
      <c r="F96" s="85">
        <v>3.11</v>
      </c>
      <c r="G96" s="72">
        <f>0+G94</f>
        <v>60688.11</v>
      </c>
      <c r="H96" s="72">
        <f>0+H94</f>
        <v>181323.19</v>
      </c>
      <c r="I96" s="72">
        <f>3839.08+I94</f>
        <v>77515.11</v>
      </c>
      <c r="J96" s="72">
        <f>70362.51+J94</f>
        <v>380402.28</v>
      </c>
      <c r="K96" s="72">
        <f>SUM(I96:J96)</f>
        <v>457917.39</v>
      </c>
      <c r="L96" s="72">
        <f aca="true" t="shared" si="20" ref="L96:M99">I96-G96</f>
        <v>16827</v>
      </c>
      <c r="M96" s="72">
        <f t="shared" si="20"/>
        <v>199079.09000000003</v>
      </c>
      <c r="N96" s="55"/>
      <c r="O96" s="55"/>
      <c r="P96" s="88"/>
      <c r="Q96" s="33"/>
      <c r="R96" s="33"/>
      <c r="S96" s="180"/>
      <c r="T96" s="15"/>
      <c r="U96" s="15"/>
    </row>
    <row r="97" spans="1:21" s="13" customFormat="1" ht="59.25" customHeight="1" thickBot="1">
      <c r="A97" s="159"/>
      <c r="B97" s="159"/>
      <c r="C97" s="81" t="s">
        <v>43</v>
      </c>
      <c r="D97" s="19" t="s">
        <v>78</v>
      </c>
      <c r="E97" s="76">
        <f>95.6+E95</f>
        <v>215.61</v>
      </c>
      <c r="F97" s="85">
        <v>3.11</v>
      </c>
      <c r="G97" s="72">
        <f>9.39+0+59.09</f>
        <v>68.48</v>
      </c>
      <c r="H97" s="72">
        <f>172.14+0+855</f>
        <v>1027.1399999999999</v>
      </c>
      <c r="I97" s="72">
        <f>297.32+I95</f>
        <v>670.55</v>
      </c>
      <c r="J97" s="72">
        <f>5449.2+J95</f>
        <v>10849.65</v>
      </c>
      <c r="K97" s="72">
        <f>SUM(I97:J97)</f>
        <v>11520.199999999999</v>
      </c>
      <c r="L97" s="72">
        <f t="shared" si="20"/>
        <v>602.0699999999999</v>
      </c>
      <c r="M97" s="72">
        <f t="shared" si="20"/>
        <v>9822.51</v>
      </c>
      <c r="N97" s="55"/>
      <c r="O97" s="55"/>
      <c r="P97" s="86"/>
      <c r="Q97" s="33"/>
      <c r="R97" s="33"/>
      <c r="S97" s="180"/>
      <c r="T97" s="15"/>
      <c r="U97" s="15"/>
    </row>
    <row r="98" spans="1:21" s="13" customFormat="1" ht="28.5" customHeight="1" thickBot="1">
      <c r="A98" s="159"/>
      <c r="B98" s="159"/>
      <c r="C98" s="87" t="s">
        <v>35</v>
      </c>
      <c r="D98" s="37" t="s">
        <v>81</v>
      </c>
      <c r="E98" s="148">
        <f>E96+615.54</f>
        <v>15823.61</v>
      </c>
      <c r="F98" s="149">
        <v>3.11</v>
      </c>
      <c r="G98" s="83">
        <f>G96+0</f>
        <v>60688.11</v>
      </c>
      <c r="H98" s="83">
        <f>H96+0</f>
        <v>181323.19</v>
      </c>
      <c r="I98" s="83">
        <f>I96+1914.33</f>
        <v>79429.44</v>
      </c>
      <c r="J98" s="83">
        <f>J96+49597.82</f>
        <v>430000.10000000003</v>
      </c>
      <c r="K98" s="83">
        <f>SUM(I98:J98)</f>
        <v>509429.54000000004</v>
      </c>
      <c r="L98" s="83">
        <f t="shared" si="20"/>
        <v>18741.33</v>
      </c>
      <c r="M98" s="83">
        <f t="shared" si="20"/>
        <v>248676.91000000003</v>
      </c>
      <c r="N98" s="55"/>
      <c r="O98" s="55"/>
      <c r="P98" s="136"/>
      <c r="Q98" s="33"/>
      <c r="R98" s="33"/>
      <c r="S98" s="180"/>
      <c r="T98" s="15"/>
      <c r="U98" s="15"/>
    </row>
    <row r="99" spans="1:21" s="13" customFormat="1" ht="30" customHeight="1" thickBot="1">
      <c r="A99" s="159"/>
      <c r="B99" s="159"/>
      <c r="C99" s="87" t="s">
        <v>43</v>
      </c>
      <c r="D99" s="37" t="s">
        <v>81</v>
      </c>
      <c r="E99" s="148">
        <f>E97+78.37</f>
        <v>293.98</v>
      </c>
      <c r="F99" s="149">
        <v>3.11</v>
      </c>
      <c r="G99" s="83">
        <f>G97+0</f>
        <v>68.48</v>
      </c>
      <c r="H99" s="83">
        <f>H97+0</f>
        <v>1027.1399999999999</v>
      </c>
      <c r="I99" s="83">
        <f>I97+243.73</f>
        <v>914.28</v>
      </c>
      <c r="J99" s="83">
        <f>J97+5956.39</f>
        <v>16806.04</v>
      </c>
      <c r="K99" s="83">
        <f>SUM(I99:J99)</f>
        <v>17720.32</v>
      </c>
      <c r="L99" s="83">
        <f t="shared" si="20"/>
        <v>845.8</v>
      </c>
      <c r="M99" s="83">
        <f t="shared" si="20"/>
        <v>15778.900000000001</v>
      </c>
      <c r="N99" s="55"/>
      <c r="O99" s="55"/>
      <c r="P99" s="86"/>
      <c r="Q99" s="33"/>
      <c r="R99" s="33"/>
      <c r="S99" s="180"/>
      <c r="T99" s="15"/>
      <c r="U99" s="15"/>
    </row>
    <row r="100" spans="1:21" ht="15.75" thickBot="1">
      <c r="A100" s="159"/>
      <c r="B100" s="159"/>
      <c r="C100" s="75" t="s">
        <v>34</v>
      </c>
      <c r="D100" s="60" t="s">
        <v>5</v>
      </c>
      <c r="E100" s="76">
        <v>1956.22</v>
      </c>
      <c r="F100" s="77">
        <v>4.52</v>
      </c>
      <c r="G100" s="72">
        <v>8842.11</v>
      </c>
      <c r="H100" s="72">
        <v>5868.66</v>
      </c>
      <c r="I100" s="72">
        <v>8842.11</v>
      </c>
      <c r="J100" s="72">
        <v>5868.66</v>
      </c>
      <c r="K100" s="72">
        <f t="shared" si="17"/>
        <v>14710.77</v>
      </c>
      <c r="L100" s="72">
        <f t="shared" si="18"/>
        <v>0</v>
      </c>
      <c r="M100" s="72">
        <f t="shared" si="19"/>
        <v>0</v>
      </c>
      <c r="N100" s="78"/>
      <c r="O100" s="55"/>
      <c r="P100" s="50"/>
      <c r="Q100" s="25"/>
      <c r="R100" s="25"/>
      <c r="S100" s="180"/>
      <c r="T100" s="3"/>
      <c r="U100" s="3"/>
    </row>
    <row r="101" spans="1:21" ht="15.75" thickBot="1">
      <c r="A101" s="159"/>
      <c r="B101" s="159"/>
      <c r="C101" s="75" t="s">
        <v>34</v>
      </c>
      <c r="D101" s="60" t="s">
        <v>6</v>
      </c>
      <c r="E101" s="76">
        <f>2814.16+E100</f>
        <v>4770.38</v>
      </c>
      <c r="F101" s="80">
        <v>5.06</v>
      </c>
      <c r="G101" s="72">
        <f>14239.65+G100</f>
        <v>23081.760000000002</v>
      </c>
      <c r="H101" s="72">
        <f>25327.44+H100</f>
        <v>31196.1</v>
      </c>
      <c r="I101" s="72">
        <f>14239.65+I100</f>
        <v>23081.760000000002</v>
      </c>
      <c r="J101" s="72">
        <f>25327.44+J100</f>
        <v>31196.1</v>
      </c>
      <c r="K101" s="72">
        <f t="shared" si="17"/>
        <v>54277.86</v>
      </c>
      <c r="L101" s="72">
        <f t="shared" si="18"/>
        <v>0</v>
      </c>
      <c r="M101" s="72">
        <f t="shared" si="19"/>
        <v>0</v>
      </c>
      <c r="N101" s="78"/>
      <c r="O101" s="55"/>
      <c r="P101" s="50"/>
      <c r="Q101" s="25"/>
      <c r="R101" s="25"/>
      <c r="S101" s="180"/>
      <c r="T101" s="3"/>
      <c r="U101" s="3"/>
    </row>
    <row r="102" spans="1:21" ht="15.75" thickBot="1">
      <c r="A102" s="159"/>
      <c r="B102" s="159"/>
      <c r="C102" s="75" t="s">
        <v>34</v>
      </c>
      <c r="D102" s="60" t="s">
        <v>7</v>
      </c>
      <c r="E102" s="76">
        <f>2947.46+E101</f>
        <v>7717.84</v>
      </c>
      <c r="F102" s="80">
        <v>5.74</v>
      </c>
      <c r="G102" s="72">
        <f>16918.42+G101</f>
        <v>40000.18</v>
      </c>
      <c r="H102" s="72">
        <f>44211.9+H101</f>
        <v>75408</v>
      </c>
      <c r="I102" s="72">
        <f>16918.42+I101</f>
        <v>40000.18</v>
      </c>
      <c r="J102" s="72">
        <f>44211.9+J101</f>
        <v>75408</v>
      </c>
      <c r="K102" s="72">
        <f t="shared" si="17"/>
        <v>115408.18</v>
      </c>
      <c r="L102" s="72">
        <f t="shared" si="18"/>
        <v>0</v>
      </c>
      <c r="M102" s="72">
        <f t="shared" si="19"/>
        <v>0</v>
      </c>
      <c r="N102" s="78"/>
      <c r="O102" s="55"/>
      <c r="P102" s="50"/>
      <c r="Q102" s="25"/>
      <c r="R102" s="25"/>
      <c r="S102" s="180"/>
      <c r="T102" s="3"/>
      <c r="U102" s="3"/>
    </row>
    <row r="103" spans="1:21" ht="15.75" thickBot="1">
      <c r="A103" s="159"/>
      <c r="B103" s="159"/>
      <c r="C103" s="75" t="s">
        <v>34</v>
      </c>
      <c r="D103" s="60" t="s">
        <v>8</v>
      </c>
      <c r="E103" s="76">
        <f>2720+E102</f>
        <v>10437.84</v>
      </c>
      <c r="F103" s="80">
        <v>6.43</v>
      </c>
      <c r="G103" s="72">
        <f>17488.83+G102</f>
        <v>57489.01</v>
      </c>
      <c r="H103" s="72">
        <f>59837.36+H102</f>
        <v>135245.36</v>
      </c>
      <c r="I103" s="72">
        <f>17488.83+I102</f>
        <v>57489.01</v>
      </c>
      <c r="J103" s="72">
        <f>59837.36+J102</f>
        <v>135245.36</v>
      </c>
      <c r="K103" s="72">
        <f t="shared" si="17"/>
        <v>192734.37</v>
      </c>
      <c r="L103" s="72">
        <f t="shared" si="18"/>
        <v>0</v>
      </c>
      <c r="M103" s="72">
        <f t="shared" si="19"/>
        <v>0</v>
      </c>
      <c r="N103" s="72">
        <v>4237.15</v>
      </c>
      <c r="O103" s="184">
        <v>17837.17</v>
      </c>
      <c r="P103" s="50"/>
      <c r="Q103" s="25"/>
      <c r="R103" s="25"/>
      <c r="S103" s="180"/>
      <c r="T103" s="3"/>
      <c r="U103" s="3"/>
    </row>
    <row r="104" spans="1:21" ht="15.75" thickBot="1">
      <c r="A104" s="159"/>
      <c r="B104" s="159"/>
      <c r="C104" s="75" t="s">
        <v>34</v>
      </c>
      <c r="D104" s="60" t="s">
        <v>9</v>
      </c>
      <c r="E104" s="76">
        <f>2585.74+E103</f>
        <v>13023.58</v>
      </c>
      <c r="F104" s="80">
        <v>6.43</v>
      </c>
      <c r="G104" s="72">
        <f>16626.3+G103</f>
        <v>74115.31</v>
      </c>
      <c r="H104" s="72">
        <f>72400.72+H103</f>
        <v>207646.08</v>
      </c>
      <c r="I104" s="72">
        <f>16626.31+I103</f>
        <v>74115.32</v>
      </c>
      <c r="J104" s="72">
        <f>72400.72+J103</f>
        <v>207646.08</v>
      </c>
      <c r="K104" s="72">
        <f t="shared" si="17"/>
        <v>281761.4</v>
      </c>
      <c r="L104" s="72">
        <f t="shared" si="18"/>
        <v>0.010000000009313226</v>
      </c>
      <c r="M104" s="72">
        <f t="shared" si="19"/>
        <v>0</v>
      </c>
      <c r="N104" s="62">
        <f>229.6+3703.08</f>
        <v>3932.68</v>
      </c>
      <c r="O104" s="186"/>
      <c r="P104" s="50"/>
      <c r="Q104" s="25"/>
      <c r="R104" s="25"/>
      <c r="S104" s="180"/>
      <c r="T104" s="3"/>
      <c r="U104" s="3"/>
    </row>
    <row r="105" spans="1:21" ht="270.75" thickBot="1">
      <c r="A105" s="159"/>
      <c r="B105" s="159"/>
      <c r="C105" s="75" t="s">
        <v>34</v>
      </c>
      <c r="D105" s="89" t="s">
        <v>79</v>
      </c>
      <c r="E105" s="76">
        <f>1809.96+E104</f>
        <v>14833.54</v>
      </c>
      <c r="F105" s="80">
        <v>6.43</v>
      </c>
      <c r="G105" s="83">
        <f>6756.51+G104</f>
        <v>80871.81999999999</v>
      </c>
      <c r="H105" s="72">
        <f>37828.08+H104</f>
        <v>245474.15999999997</v>
      </c>
      <c r="I105" s="72">
        <f>11638.04+I104</f>
        <v>85753.36000000002</v>
      </c>
      <c r="J105" s="72">
        <f>65158.56+J104</f>
        <v>272804.64</v>
      </c>
      <c r="K105" s="72">
        <f t="shared" si="17"/>
        <v>358558</v>
      </c>
      <c r="L105" s="72">
        <f t="shared" si="18"/>
        <v>4881.540000000023</v>
      </c>
      <c r="M105" s="72">
        <f t="shared" si="19"/>
        <v>27330.48000000004</v>
      </c>
      <c r="N105" s="55"/>
      <c r="O105" s="192">
        <v>13756.8</v>
      </c>
      <c r="P105" s="84" t="s">
        <v>67</v>
      </c>
      <c r="Q105" s="25"/>
      <c r="R105" s="25"/>
      <c r="S105" s="180"/>
      <c r="T105" s="3"/>
      <c r="U105" s="3"/>
    </row>
    <row r="106" spans="1:21" ht="315.75" thickBot="1">
      <c r="A106" s="159"/>
      <c r="B106" s="159"/>
      <c r="C106" s="75" t="s">
        <v>34</v>
      </c>
      <c r="D106" s="19" t="s">
        <v>77</v>
      </c>
      <c r="E106" s="76">
        <f>2660.8+E105</f>
        <v>17494.34</v>
      </c>
      <c r="F106" s="85">
        <v>3.11</v>
      </c>
      <c r="G106" s="72">
        <f>6091.52+G105</f>
        <v>86963.34</v>
      </c>
      <c r="H106" s="72">
        <f>78347.55+H105</f>
        <v>323821.70999999996</v>
      </c>
      <c r="I106" s="72">
        <f>8275.09+I105</f>
        <v>94028.45000000001</v>
      </c>
      <c r="J106" s="72">
        <f>106432+J105</f>
        <v>379236.64</v>
      </c>
      <c r="K106" s="72">
        <f t="shared" si="17"/>
        <v>473265.09</v>
      </c>
      <c r="L106" s="22">
        <f aca="true" t="shared" si="21" ref="L106:M109">I106-G106</f>
        <v>7065.110000000015</v>
      </c>
      <c r="M106" s="72">
        <f t="shared" si="21"/>
        <v>55414.93000000005</v>
      </c>
      <c r="N106" s="55"/>
      <c r="O106" s="193"/>
      <c r="P106" s="84" t="s">
        <v>68</v>
      </c>
      <c r="Q106" s="25"/>
      <c r="R106" s="25"/>
      <c r="S106" s="180"/>
      <c r="T106" s="3"/>
      <c r="U106" s="3"/>
    </row>
    <row r="107" spans="1:21" ht="15.75" thickBot="1">
      <c r="A107" s="159"/>
      <c r="B107" s="159"/>
      <c r="C107" s="75" t="s">
        <v>34</v>
      </c>
      <c r="D107" s="19" t="s">
        <v>47</v>
      </c>
      <c r="E107" s="76">
        <f>760.12+620.2+759.5+664.1+E106</f>
        <v>20298.260000000002</v>
      </c>
      <c r="F107" s="85">
        <v>3.11</v>
      </c>
      <c r="G107" s="72">
        <f>6791.36+G106</f>
        <v>93754.7</v>
      </c>
      <c r="H107" s="72">
        <f>95424.52+H106</f>
        <v>419246.23</v>
      </c>
      <c r="I107" s="72">
        <f>2363.97+1928.82+2362.05+2065.35+I106</f>
        <v>102748.64000000001</v>
      </c>
      <c r="J107" s="72">
        <f>34205.4+27909+34177.5+29884.5+J106</f>
        <v>505413.04000000004</v>
      </c>
      <c r="K107" s="72">
        <f t="shared" si="17"/>
        <v>608161.68</v>
      </c>
      <c r="L107" s="22">
        <f t="shared" si="21"/>
        <v>8993.940000000017</v>
      </c>
      <c r="M107" s="72">
        <f t="shared" si="21"/>
        <v>86166.81000000006</v>
      </c>
      <c r="N107" s="55"/>
      <c r="O107" s="55"/>
      <c r="P107" s="86"/>
      <c r="Q107" s="25"/>
      <c r="R107" s="25"/>
      <c r="S107" s="180"/>
      <c r="T107" s="3"/>
      <c r="U107" s="3"/>
    </row>
    <row r="108" spans="1:21" s="13" customFormat="1" ht="36.75" customHeight="1" thickBot="1">
      <c r="A108" s="159"/>
      <c r="B108" s="159"/>
      <c r="C108" s="75" t="s">
        <v>34</v>
      </c>
      <c r="D108" s="19" t="s">
        <v>78</v>
      </c>
      <c r="E108" s="76">
        <f>2565.7+E107</f>
        <v>22863.960000000003</v>
      </c>
      <c r="F108" s="85">
        <v>3.11</v>
      </c>
      <c r="G108" s="83">
        <f>5677.94+G107</f>
        <v>99432.64</v>
      </c>
      <c r="H108" s="83">
        <f>104064.9+H107</f>
        <v>523311.13</v>
      </c>
      <c r="I108" s="72">
        <f>7979.33+I107</f>
        <v>110727.97000000002</v>
      </c>
      <c r="J108" s="72">
        <f>146244.9+J107</f>
        <v>651657.9400000001</v>
      </c>
      <c r="K108" s="72">
        <f>SUM(I108:J108)</f>
        <v>762385.91</v>
      </c>
      <c r="L108" s="22">
        <f t="shared" si="21"/>
        <v>11295.330000000016</v>
      </c>
      <c r="M108" s="72">
        <f t="shared" si="21"/>
        <v>128346.81000000006</v>
      </c>
      <c r="N108" s="55"/>
      <c r="O108" s="55"/>
      <c r="P108" s="86"/>
      <c r="Q108" s="33"/>
      <c r="R108" s="33"/>
      <c r="S108" s="180"/>
      <c r="T108" s="15"/>
      <c r="U108" s="15"/>
    </row>
    <row r="109" spans="1:21" ht="15.75" thickBot="1">
      <c r="A109" s="159"/>
      <c r="B109" s="159"/>
      <c r="C109" s="90" t="s">
        <v>34</v>
      </c>
      <c r="D109" s="37" t="s">
        <v>81</v>
      </c>
      <c r="E109" s="148">
        <f>E108+1500</f>
        <v>24363.960000000003</v>
      </c>
      <c r="F109" s="149">
        <v>3.11</v>
      </c>
      <c r="G109" s="83">
        <f>G108+712.25</f>
        <v>100144.89</v>
      </c>
      <c r="H109" s="83">
        <f>H108+21756.9</f>
        <v>545068.03</v>
      </c>
      <c r="I109" s="83">
        <f>I108+4665</f>
        <v>115392.97000000002</v>
      </c>
      <c r="J109" s="83">
        <f>J108+122483.12</f>
        <v>774141.06</v>
      </c>
      <c r="K109" s="83">
        <f>SUM(I109:J109)</f>
        <v>889534.03</v>
      </c>
      <c r="L109" s="35">
        <f t="shared" si="21"/>
        <v>15248.080000000016</v>
      </c>
      <c r="M109" s="83">
        <f t="shared" si="21"/>
        <v>229073.03000000003</v>
      </c>
      <c r="N109" s="55"/>
      <c r="O109" s="55"/>
      <c r="P109" s="86"/>
      <c r="Q109" s="25"/>
      <c r="R109" s="25"/>
      <c r="S109" s="180"/>
      <c r="T109" s="3"/>
      <c r="U109" s="3"/>
    </row>
    <row r="110" spans="1:21" ht="15.75" thickBot="1">
      <c r="A110" s="159"/>
      <c r="B110" s="159"/>
      <c r="C110" s="75" t="s">
        <v>36</v>
      </c>
      <c r="D110" s="60" t="s">
        <v>5</v>
      </c>
      <c r="E110" s="76">
        <v>908</v>
      </c>
      <c r="F110" s="77">
        <v>4.52</v>
      </c>
      <c r="G110" s="72">
        <v>4104.16</v>
      </c>
      <c r="H110" s="72">
        <v>2724</v>
      </c>
      <c r="I110" s="72">
        <v>4104.16</v>
      </c>
      <c r="J110" s="72">
        <v>2724</v>
      </c>
      <c r="K110" s="72">
        <f t="shared" si="17"/>
        <v>6828.16</v>
      </c>
      <c r="L110" s="72">
        <f t="shared" si="18"/>
        <v>0</v>
      </c>
      <c r="M110" s="72">
        <f t="shared" si="19"/>
        <v>0</v>
      </c>
      <c r="N110" s="78"/>
      <c r="O110" s="55"/>
      <c r="P110" s="50"/>
      <c r="Q110" s="25"/>
      <c r="R110" s="25"/>
      <c r="S110" s="180"/>
      <c r="T110" s="3"/>
      <c r="U110" s="3"/>
    </row>
    <row r="111" spans="1:21" ht="15.75" thickBot="1">
      <c r="A111" s="159"/>
      <c r="B111" s="159"/>
      <c r="C111" s="75" t="s">
        <v>36</v>
      </c>
      <c r="D111" s="60" t="s">
        <v>6</v>
      </c>
      <c r="E111" s="76">
        <f>869.36+E110</f>
        <v>1777.3600000000001</v>
      </c>
      <c r="F111" s="80">
        <v>5.06</v>
      </c>
      <c r="G111" s="72">
        <f>4398.96+G110</f>
        <v>8503.119999999999</v>
      </c>
      <c r="H111" s="72">
        <f>7824.24+H110</f>
        <v>10548.24</v>
      </c>
      <c r="I111" s="72">
        <f>4398.96+I110</f>
        <v>8503.119999999999</v>
      </c>
      <c r="J111" s="72">
        <f>7824.24+J110</f>
        <v>10548.24</v>
      </c>
      <c r="K111" s="72">
        <f t="shared" si="17"/>
        <v>19051.36</v>
      </c>
      <c r="L111" s="72">
        <f t="shared" si="18"/>
        <v>0</v>
      </c>
      <c r="M111" s="72">
        <f t="shared" si="19"/>
        <v>0</v>
      </c>
      <c r="N111" s="78"/>
      <c r="O111" s="55"/>
      <c r="P111" s="50"/>
      <c r="Q111" s="25"/>
      <c r="R111" s="25"/>
      <c r="S111" s="180"/>
      <c r="T111" s="3"/>
      <c r="U111" s="3"/>
    </row>
    <row r="112" spans="1:21" ht="15.75" thickBot="1">
      <c r="A112" s="159"/>
      <c r="B112" s="159"/>
      <c r="C112" s="75" t="s">
        <v>36</v>
      </c>
      <c r="D112" s="60" t="s">
        <v>7</v>
      </c>
      <c r="E112" s="76">
        <f>805.32+E111</f>
        <v>2582.6800000000003</v>
      </c>
      <c r="F112" s="80">
        <v>5.74</v>
      </c>
      <c r="G112" s="72">
        <f>4622.54+G111</f>
        <v>13125.66</v>
      </c>
      <c r="H112" s="72">
        <f>12079.8+H111</f>
        <v>22628.04</v>
      </c>
      <c r="I112" s="72">
        <f>4622.54+I111</f>
        <v>13125.66</v>
      </c>
      <c r="J112" s="72">
        <f>12079.8+J111</f>
        <v>22628.04</v>
      </c>
      <c r="K112" s="72">
        <f t="shared" si="17"/>
        <v>35753.7</v>
      </c>
      <c r="L112" s="72">
        <f t="shared" si="18"/>
        <v>0</v>
      </c>
      <c r="M112" s="72">
        <f t="shared" si="19"/>
        <v>0</v>
      </c>
      <c r="N112" s="78"/>
      <c r="O112" s="55"/>
      <c r="P112" s="50"/>
      <c r="Q112" s="25"/>
      <c r="R112" s="25"/>
      <c r="S112" s="180"/>
      <c r="T112" s="3"/>
      <c r="U112" s="3"/>
    </row>
    <row r="113" spans="1:21" ht="15.75" thickBot="1">
      <c r="A113" s="159"/>
      <c r="B113" s="159"/>
      <c r="C113" s="75" t="s">
        <v>36</v>
      </c>
      <c r="D113" s="60" t="s">
        <v>8</v>
      </c>
      <c r="E113" s="76">
        <f>751+E112</f>
        <v>3333.6800000000003</v>
      </c>
      <c r="F113" s="80">
        <v>6.43</v>
      </c>
      <c r="G113" s="72">
        <f>4828.15+G112</f>
        <v>17953.809999999998</v>
      </c>
      <c r="H113" s="72">
        <f>16519.36+H112</f>
        <v>39147.4</v>
      </c>
      <c r="I113" s="72">
        <f>4828.16+I112</f>
        <v>17953.82</v>
      </c>
      <c r="J113" s="72">
        <f>16519.36+J112</f>
        <v>39147.4</v>
      </c>
      <c r="K113" s="72">
        <f t="shared" si="17"/>
        <v>57101.22</v>
      </c>
      <c r="L113" s="72">
        <f t="shared" si="18"/>
        <v>0.010000000002037268</v>
      </c>
      <c r="M113" s="72">
        <f t="shared" si="19"/>
        <v>0</v>
      </c>
      <c r="N113" s="78"/>
      <c r="O113" s="55"/>
      <c r="P113" s="50"/>
      <c r="Q113" s="25"/>
      <c r="R113" s="25"/>
      <c r="S113" s="180"/>
      <c r="T113" s="3"/>
      <c r="U113" s="3"/>
    </row>
    <row r="114" spans="1:21" ht="15.75" thickBot="1">
      <c r="A114" s="159"/>
      <c r="B114" s="159"/>
      <c r="C114" s="75" t="s">
        <v>36</v>
      </c>
      <c r="D114" s="60" t="s">
        <v>9</v>
      </c>
      <c r="E114" s="76">
        <f>718.94+E113</f>
        <v>4052.6200000000003</v>
      </c>
      <c r="F114" s="80">
        <v>6.43</v>
      </c>
      <c r="G114" s="72">
        <f>4622.78+G113</f>
        <v>22576.589999999997</v>
      </c>
      <c r="H114" s="72">
        <f>20130.33+H113</f>
        <v>59277.73</v>
      </c>
      <c r="I114" s="72">
        <f>4622.78+I113</f>
        <v>22576.6</v>
      </c>
      <c r="J114" s="72">
        <f>20130.32+J113</f>
        <v>59277.72</v>
      </c>
      <c r="K114" s="72">
        <f t="shared" si="17"/>
        <v>81854.32</v>
      </c>
      <c r="L114" s="72">
        <f t="shared" si="18"/>
        <v>0.010000000002037268</v>
      </c>
      <c r="M114" s="72">
        <f t="shared" si="19"/>
        <v>-0.010000000002037268</v>
      </c>
      <c r="N114" s="78"/>
      <c r="O114" s="55"/>
      <c r="P114" s="50"/>
      <c r="Q114" s="25"/>
      <c r="R114" s="25"/>
      <c r="S114" s="180"/>
      <c r="T114" s="3"/>
      <c r="U114" s="3"/>
    </row>
    <row r="115" spans="1:21" ht="173.25" customHeight="1" thickBot="1">
      <c r="A115" s="159"/>
      <c r="B115" s="159"/>
      <c r="C115" s="75" t="s">
        <v>36</v>
      </c>
      <c r="D115" s="60" t="s">
        <v>29</v>
      </c>
      <c r="E115" s="76">
        <f>738.17+E114</f>
        <v>4790.79</v>
      </c>
      <c r="F115" s="80">
        <v>6.43</v>
      </c>
      <c r="G115" s="72">
        <f>4746.43+G114</f>
        <v>27323.019999999997</v>
      </c>
      <c r="H115" s="72">
        <f>26574.12+H114</f>
        <v>85851.85</v>
      </c>
      <c r="I115" s="72">
        <f>4746.43+I114</f>
        <v>27323.03</v>
      </c>
      <c r="J115" s="72">
        <f>26574.12+J114</f>
        <v>85851.84</v>
      </c>
      <c r="K115" s="72">
        <f t="shared" si="17"/>
        <v>113174.87</v>
      </c>
      <c r="L115" s="72">
        <f t="shared" si="18"/>
        <v>0.010000000002037268</v>
      </c>
      <c r="M115" s="72">
        <f t="shared" si="19"/>
        <v>-0.010000000009313226</v>
      </c>
      <c r="N115" s="78"/>
      <c r="O115" s="55"/>
      <c r="P115" s="84" t="s">
        <v>69</v>
      </c>
      <c r="Q115" s="25"/>
      <c r="R115" s="25"/>
      <c r="S115" s="180"/>
      <c r="T115" s="3"/>
      <c r="U115" s="3"/>
    </row>
    <row r="116" spans="1:21" ht="15.75" thickBot="1">
      <c r="A116" s="159"/>
      <c r="B116" s="159"/>
      <c r="C116" s="75" t="s">
        <v>36</v>
      </c>
      <c r="D116" s="19" t="s">
        <v>77</v>
      </c>
      <c r="E116" s="76">
        <f>724.12+E115</f>
        <v>5514.91</v>
      </c>
      <c r="F116" s="85">
        <v>3.11</v>
      </c>
      <c r="G116" s="72">
        <f>1495.41+G115</f>
        <v>28818.429999999997</v>
      </c>
      <c r="H116" s="72">
        <f>19233.6+H115</f>
        <v>105085.45000000001</v>
      </c>
      <c r="I116" s="72">
        <f>2252.01+I115</f>
        <v>29575.04</v>
      </c>
      <c r="J116" s="72">
        <f>28964.8+J115</f>
        <v>114816.64</v>
      </c>
      <c r="K116" s="72">
        <f t="shared" si="17"/>
        <v>144391.68</v>
      </c>
      <c r="L116" s="72">
        <f t="shared" si="18"/>
        <v>756.6100000000042</v>
      </c>
      <c r="M116" s="72">
        <f t="shared" si="19"/>
        <v>9731.189999999988</v>
      </c>
      <c r="N116" s="78"/>
      <c r="O116" s="55"/>
      <c r="P116" s="86"/>
      <c r="Q116" s="25"/>
      <c r="R116" s="25"/>
      <c r="S116" s="180"/>
      <c r="T116" s="3"/>
      <c r="U116" s="3"/>
    </row>
    <row r="117" spans="1:21" ht="15.75" thickBot="1">
      <c r="A117" s="159"/>
      <c r="B117" s="159"/>
      <c r="C117" s="75" t="s">
        <v>36</v>
      </c>
      <c r="D117" s="19" t="s">
        <v>47</v>
      </c>
      <c r="E117" s="76">
        <f>197.54+144.44+213.62+175.24+E116</f>
        <v>6245.75</v>
      </c>
      <c r="F117" s="85">
        <v>3.11</v>
      </c>
      <c r="G117" s="72">
        <f>104.12+522.6+151.46+627.29+269.08+G116</f>
        <v>30492.979999999996</v>
      </c>
      <c r="H117" s="72">
        <f>26598.6+H116</f>
        <v>131684.05000000002</v>
      </c>
      <c r="I117" s="72">
        <f>614.35+448.6+664.36+545.6+I116</f>
        <v>31847.95</v>
      </c>
      <c r="J117" s="72">
        <f>8889.3+1948+4551.8+9612.9+7885.8+J116</f>
        <v>147704.44</v>
      </c>
      <c r="K117" s="72">
        <f t="shared" si="17"/>
        <v>179552.39</v>
      </c>
      <c r="L117" s="72">
        <f t="shared" si="18"/>
        <v>1354.9700000000048</v>
      </c>
      <c r="M117" s="72">
        <f t="shared" si="19"/>
        <v>16020.389999999985</v>
      </c>
      <c r="N117" s="78"/>
      <c r="O117" s="55"/>
      <c r="P117" s="86"/>
      <c r="Q117" s="25"/>
      <c r="R117" s="25"/>
      <c r="S117" s="180"/>
      <c r="T117" s="3"/>
      <c r="U117" s="3"/>
    </row>
    <row r="118" spans="1:21" s="13" customFormat="1" ht="41.25" customHeight="1" thickBot="1">
      <c r="A118" s="159"/>
      <c r="B118" s="159"/>
      <c r="C118" s="75" t="s">
        <v>36</v>
      </c>
      <c r="D118" s="19" t="s">
        <v>78</v>
      </c>
      <c r="E118" s="76">
        <f>762.88+E117</f>
        <v>7008.63</v>
      </c>
      <c r="F118" s="85">
        <v>3.11</v>
      </c>
      <c r="G118" s="72">
        <f>2369.46+G117</f>
        <v>32862.439999999995</v>
      </c>
      <c r="H118" s="72">
        <f>43427.33+H117</f>
        <v>175111.38</v>
      </c>
      <c r="I118" s="72">
        <f>2372.56+I117</f>
        <v>34220.51</v>
      </c>
      <c r="J118" s="72">
        <f>43484.16+J117</f>
        <v>191188.6</v>
      </c>
      <c r="K118" s="72">
        <f>SUM(I118:J118)</f>
        <v>225409.11000000002</v>
      </c>
      <c r="L118" s="72">
        <f>I118-G118</f>
        <v>1358.070000000007</v>
      </c>
      <c r="M118" s="72">
        <f>J118-H118</f>
        <v>16077.220000000001</v>
      </c>
      <c r="N118" s="78"/>
      <c r="O118" s="55"/>
      <c r="P118" s="86"/>
      <c r="Q118" s="33"/>
      <c r="R118" s="33"/>
      <c r="S118" s="180"/>
      <c r="T118" s="15"/>
      <c r="U118" s="15"/>
    </row>
    <row r="119" spans="1:21" s="13" customFormat="1" ht="41.25" customHeight="1" thickBot="1">
      <c r="A119" s="159"/>
      <c r="B119" s="159"/>
      <c r="C119" s="90" t="s">
        <v>36</v>
      </c>
      <c r="D119" s="37" t="s">
        <v>81</v>
      </c>
      <c r="E119" s="148">
        <f>E118+349.18</f>
        <v>7357.81</v>
      </c>
      <c r="F119" s="149">
        <v>3.11</v>
      </c>
      <c r="G119" s="83">
        <f>G118+897.36</f>
        <v>33759.799999999996</v>
      </c>
      <c r="H119" s="83">
        <f>H118+22931.5</f>
        <v>198042.88</v>
      </c>
      <c r="I119" s="83">
        <f>I118+1085.95</f>
        <v>35306.46</v>
      </c>
      <c r="J119" s="83">
        <f>J118+27115.66</f>
        <v>218304.26</v>
      </c>
      <c r="K119" s="83">
        <f>SUM(I119:J119)</f>
        <v>253610.72</v>
      </c>
      <c r="L119" s="83">
        <f>I119-G119</f>
        <v>1546.6600000000035</v>
      </c>
      <c r="M119" s="83">
        <f>J119-H119</f>
        <v>20261.380000000005</v>
      </c>
      <c r="N119" s="78"/>
      <c r="O119" s="55"/>
      <c r="P119" s="86"/>
      <c r="Q119" s="33"/>
      <c r="R119" s="33"/>
      <c r="S119" s="180"/>
      <c r="T119" s="15"/>
      <c r="U119" s="15"/>
    </row>
    <row r="120" spans="1:21" ht="15.75" thickBot="1">
      <c r="A120" s="159"/>
      <c r="B120" s="159"/>
      <c r="C120" s="75" t="s">
        <v>37</v>
      </c>
      <c r="D120" s="60" t="s">
        <v>5</v>
      </c>
      <c r="E120" s="76">
        <v>2036</v>
      </c>
      <c r="F120" s="77">
        <v>4.52</v>
      </c>
      <c r="G120" s="72">
        <v>9202.72</v>
      </c>
      <c r="H120" s="72">
        <v>6108</v>
      </c>
      <c r="I120" s="72">
        <v>9202.72</v>
      </c>
      <c r="J120" s="72">
        <v>6108</v>
      </c>
      <c r="K120" s="72">
        <f t="shared" si="17"/>
        <v>15310.72</v>
      </c>
      <c r="L120" s="72">
        <f t="shared" si="18"/>
        <v>0</v>
      </c>
      <c r="M120" s="72">
        <f t="shared" si="19"/>
        <v>0</v>
      </c>
      <c r="N120" s="78"/>
      <c r="O120" s="55"/>
      <c r="P120" s="50"/>
      <c r="Q120" s="25"/>
      <c r="R120" s="25"/>
      <c r="S120" s="180"/>
      <c r="T120" s="3"/>
      <c r="U120" s="3"/>
    </row>
    <row r="121" spans="1:21" ht="15.75" thickBot="1">
      <c r="A121" s="159"/>
      <c r="B121" s="159"/>
      <c r="C121" s="75" t="s">
        <v>37</v>
      </c>
      <c r="D121" s="60" t="s">
        <v>6</v>
      </c>
      <c r="E121" s="76">
        <f>1618.48+E120</f>
        <v>3654.48</v>
      </c>
      <c r="F121" s="80">
        <v>5.06</v>
      </c>
      <c r="G121" s="72">
        <f>8189.51+G120</f>
        <v>17392.23</v>
      </c>
      <c r="H121" s="72">
        <f>14566.32+H120</f>
        <v>20674.32</v>
      </c>
      <c r="I121" s="72">
        <f>8189.51+I120</f>
        <v>17392.23</v>
      </c>
      <c r="J121" s="72">
        <f>14566.32+J120</f>
        <v>20674.32</v>
      </c>
      <c r="K121" s="72">
        <f t="shared" si="17"/>
        <v>38066.55</v>
      </c>
      <c r="L121" s="72">
        <f t="shared" si="18"/>
        <v>0</v>
      </c>
      <c r="M121" s="72">
        <f t="shared" si="19"/>
        <v>0</v>
      </c>
      <c r="N121" s="78"/>
      <c r="O121" s="55"/>
      <c r="P121" s="50"/>
      <c r="Q121" s="25"/>
      <c r="R121" s="25"/>
      <c r="S121" s="180"/>
      <c r="T121" s="3"/>
      <c r="U121" s="3"/>
    </row>
    <row r="122" spans="1:21" ht="15.75" thickBot="1">
      <c r="A122" s="159"/>
      <c r="B122" s="159"/>
      <c r="C122" s="75" t="s">
        <v>37</v>
      </c>
      <c r="D122" s="60" t="s">
        <v>7</v>
      </c>
      <c r="E122" s="76">
        <f>1731.16+E121</f>
        <v>5385.64</v>
      </c>
      <c r="F122" s="80">
        <v>5.74</v>
      </c>
      <c r="G122" s="72">
        <f>9936.86+G121</f>
        <v>27329.09</v>
      </c>
      <c r="H122" s="72">
        <f>25967.4+H121</f>
        <v>46641.72</v>
      </c>
      <c r="I122" s="72">
        <f>9936.86+I121</f>
        <v>27329.09</v>
      </c>
      <c r="J122" s="72">
        <f>25967.4+J121</f>
        <v>46641.72</v>
      </c>
      <c r="K122" s="72">
        <f t="shared" si="17"/>
        <v>73970.81</v>
      </c>
      <c r="L122" s="72">
        <f t="shared" si="18"/>
        <v>0</v>
      </c>
      <c r="M122" s="72">
        <f t="shared" si="19"/>
        <v>0</v>
      </c>
      <c r="N122" s="78"/>
      <c r="O122" s="55"/>
      <c r="P122" s="50"/>
      <c r="Q122" s="25"/>
      <c r="R122" s="25"/>
      <c r="S122" s="180"/>
      <c r="T122" s="3"/>
      <c r="U122" s="3"/>
    </row>
    <row r="123" spans="1:21" ht="13.5" customHeight="1" thickBot="1">
      <c r="A123" s="159"/>
      <c r="B123" s="159"/>
      <c r="C123" s="75" t="s">
        <v>37</v>
      </c>
      <c r="D123" s="60" t="s">
        <v>8</v>
      </c>
      <c r="E123" s="76">
        <f>1709+E122</f>
        <v>7094.64</v>
      </c>
      <c r="F123" s="80">
        <v>6.43</v>
      </c>
      <c r="G123" s="72">
        <f>10988.37+G122</f>
        <v>38317.46</v>
      </c>
      <c r="H123" s="72">
        <f>37596.24+H122</f>
        <v>84237.95999999999</v>
      </c>
      <c r="I123" s="72">
        <f>10988.36+I122</f>
        <v>38317.45</v>
      </c>
      <c r="J123" s="72">
        <f>37596.24+J122</f>
        <v>84237.95999999999</v>
      </c>
      <c r="K123" s="72">
        <f t="shared" si="17"/>
        <v>122555.40999999999</v>
      </c>
      <c r="L123" s="72">
        <f t="shared" si="18"/>
        <v>-0.010000000002037268</v>
      </c>
      <c r="M123" s="72">
        <f t="shared" si="19"/>
        <v>0</v>
      </c>
      <c r="N123" s="55"/>
      <c r="O123" s="55"/>
      <c r="P123" s="50"/>
      <c r="Q123" s="25"/>
      <c r="R123" s="25"/>
      <c r="S123" s="180"/>
      <c r="T123" s="3"/>
      <c r="U123" s="3"/>
    </row>
    <row r="124" spans="1:21" ht="15.75" thickBot="1">
      <c r="A124" s="159"/>
      <c r="B124" s="159"/>
      <c r="C124" s="75" t="s">
        <v>37</v>
      </c>
      <c r="D124" s="60" t="s">
        <v>9</v>
      </c>
      <c r="E124" s="76">
        <f>1777.12+E123</f>
        <v>8871.76</v>
      </c>
      <c r="F124" s="80">
        <v>6.43</v>
      </c>
      <c r="G124" s="72">
        <f>7363.91+G123</f>
        <v>45681.369999999995</v>
      </c>
      <c r="H124" s="72">
        <f>31094.2+H123</f>
        <v>115332.15999999999</v>
      </c>
      <c r="I124" s="72">
        <f>11426.88+I123</f>
        <v>49744.329999999994</v>
      </c>
      <c r="J124" s="72">
        <f>49759.36+J123</f>
        <v>133997.32</v>
      </c>
      <c r="K124" s="72">
        <f t="shared" si="17"/>
        <v>183741.65</v>
      </c>
      <c r="L124" s="72">
        <f t="shared" si="18"/>
        <v>4062.959999999999</v>
      </c>
      <c r="M124" s="72">
        <f t="shared" si="19"/>
        <v>18665.160000000018</v>
      </c>
      <c r="N124" s="55"/>
      <c r="O124" s="55"/>
      <c r="P124" s="50"/>
      <c r="Q124" s="25"/>
      <c r="R124" s="25"/>
      <c r="S124" s="180"/>
      <c r="T124" s="3"/>
      <c r="U124" s="3"/>
    </row>
    <row r="125" spans="1:21" ht="128.25" customHeight="1" thickBot="1">
      <c r="A125" s="159"/>
      <c r="B125" s="159"/>
      <c r="C125" s="75" t="s">
        <v>37</v>
      </c>
      <c r="D125" s="60" t="s">
        <v>29</v>
      </c>
      <c r="E125" s="76">
        <f>2241.38+E123</f>
        <v>9336.02</v>
      </c>
      <c r="F125" s="80">
        <v>6.43</v>
      </c>
      <c r="G125" s="72">
        <f>10766.78+G124</f>
        <v>56448.149999999994</v>
      </c>
      <c r="H125" s="72">
        <f>60280.56+H124</f>
        <v>175612.71999999997</v>
      </c>
      <c r="I125" s="72">
        <f>14412.07+I124</f>
        <v>64156.399999999994</v>
      </c>
      <c r="J125" s="72">
        <f>80689.68+J124</f>
        <v>214687</v>
      </c>
      <c r="K125" s="72">
        <f aca="true" t="shared" si="22" ref="K125:K133">SUM(I125:J125)</f>
        <v>278843.4</v>
      </c>
      <c r="L125" s="72">
        <f t="shared" si="18"/>
        <v>7708.25</v>
      </c>
      <c r="M125" s="72">
        <f t="shared" si="19"/>
        <v>39074.28000000003</v>
      </c>
      <c r="N125" s="55"/>
      <c r="O125" s="55"/>
      <c r="P125" s="84" t="s">
        <v>70</v>
      </c>
      <c r="Q125" s="25"/>
      <c r="R125" s="25"/>
      <c r="S125" s="180"/>
      <c r="T125" s="3"/>
      <c r="U125" s="3"/>
    </row>
    <row r="126" spans="1:21" ht="78" customHeight="1" thickBot="1">
      <c r="A126" s="159"/>
      <c r="B126" s="159"/>
      <c r="C126" s="75" t="s">
        <v>37</v>
      </c>
      <c r="D126" s="19" t="s">
        <v>77</v>
      </c>
      <c r="E126" s="76">
        <f>2237.68+E125</f>
        <v>11573.7</v>
      </c>
      <c r="F126" s="85">
        <v>3.11</v>
      </c>
      <c r="G126" s="72">
        <f>431.05+6135.15+G125</f>
        <v>63014.34999999999</v>
      </c>
      <c r="H126" s="72">
        <f>84452.8+H125</f>
        <v>260065.51999999996</v>
      </c>
      <c r="I126" s="72">
        <f>6959.18+I125</f>
        <v>71115.57999999999</v>
      </c>
      <c r="J126" s="72">
        <f>89507.2+J125</f>
        <v>304194.2</v>
      </c>
      <c r="K126" s="72">
        <f t="shared" si="22"/>
        <v>375309.78</v>
      </c>
      <c r="L126" s="72">
        <f t="shared" si="18"/>
        <v>8101.229999999996</v>
      </c>
      <c r="M126" s="72">
        <f t="shared" si="19"/>
        <v>44128.68000000005</v>
      </c>
      <c r="N126" s="55"/>
      <c r="O126" s="55"/>
      <c r="P126" s="84" t="s">
        <v>71</v>
      </c>
      <c r="Q126" s="25"/>
      <c r="R126" s="25"/>
      <c r="S126" s="180"/>
      <c r="T126" s="3"/>
      <c r="U126" s="3"/>
    </row>
    <row r="127" spans="1:21" ht="15.75" thickBot="1">
      <c r="A127" s="159"/>
      <c r="B127" s="159"/>
      <c r="C127" s="75" t="s">
        <v>37</v>
      </c>
      <c r="D127" s="19" t="s">
        <v>47</v>
      </c>
      <c r="E127" s="76">
        <f>655.98+873.13+667.04+188.92+E126</f>
        <v>13958.77</v>
      </c>
      <c r="F127" s="85">
        <v>3.11</v>
      </c>
      <c r="G127" s="83">
        <f>465.29+937.16+2015.02+2058.14+628.22+G126</f>
        <v>69118.18</v>
      </c>
      <c r="H127" s="83">
        <f>6732.45+13560.3+8727.3+39661.2+9090+10548+H126</f>
        <v>348384.76999999996</v>
      </c>
      <c r="I127" s="72">
        <f>7417.57+I126</f>
        <v>78533.15</v>
      </c>
      <c r="J127" s="72">
        <f>29519.1+22287.6+30016.8+25504.65+J126</f>
        <v>411522.35</v>
      </c>
      <c r="K127" s="72">
        <f t="shared" si="22"/>
        <v>490055.5</v>
      </c>
      <c r="L127" s="72">
        <f t="shared" si="18"/>
        <v>9414.970000000001</v>
      </c>
      <c r="M127" s="72">
        <f t="shared" si="19"/>
        <v>63137.580000000016</v>
      </c>
      <c r="N127" s="55"/>
      <c r="O127" s="55"/>
      <c r="P127" s="86"/>
      <c r="Q127" s="25"/>
      <c r="R127" s="25"/>
      <c r="S127" s="180"/>
      <c r="T127" s="3"/>
      <c r="U127" s="3"/>
    </row>
    <row r="128" spans="1:21" s="13" customFormat="1" ht="33.75" customHeight="1" thickBot="1">
      <c r="A128" s="159"/>
      <c r="B128" s="159"/>
      <c r="C128" s="75" t="s">
        <v>37</v>
      </c>
      <c r="D128" s="19" t="s">
        <v>78</v>
      </c>
      <c r="E128" s="76">
        <f>2563.14+E127</f>
        <v>16521.91</v>
      </c>
      <c r="F128" s="85">
        <v>3.11</v>
      </c>
      <c r="G128" s="72">
        <f>7971.36+G127</f>
        <v>77089.54</v>
      </c>
      <c r="H128" s="72">
        <f>146098.98+H127</f>
        <v>494483.75</v>
      </c>
      <c r="I128" s="72">
        <f>7971.37+I127</f>
        <v>86504.51999999999</v>
      </c>
      <c r="J128" s="72">
        <f>146098.98+J127</f>
        <v>557621.33</v>
      </c>
      <c r="K128" s="72">
        <f t="shared" si="22"/>
        <v>644125.85</v>
      </c>
      <c r="L128" s="72">
        <f aca="true" t="shared" si="23" ref="L128:M133">I128-G128</f>
        <v>9414.979999999996</v>
      </c>
      <c r="M128" s="72">
        <f t="shared" si="23"/>
        <v>63137.57999999996</v>
      </c>
      <c r="N128" s="55"/>
      <c r="O128" s="55"/>
      <c r="P128" s="86"/>
      <c r="Q128" s="33"/>
      <c r="R128" s="33"/>
      <c r="S128" s="180"/>
      <c r="T128" s="15"/>
      <c r="U128" s="15"/>
    </row>
    <row r="129" spans="1:21" s="13" customFormat="1" ht="33.75" customHeight="1" thickBot="1">
      <c r="A129" s="159"/>
      <c r="B129" s="159"/>
      <c r="C129" s="90" t="s">
        <v>37</v>
      </c>
      <c r="D129" s="37" t="s">
        <v>81</v>
      </c>
      <c r="E129" s="148">
        <f>E128+1292.22</f>
        <v>17814.13</v>
      </c>
      <c r="F129" s="149">
        <v>3.11</v>
      </c>
      <c r="G129" s="83">
        <f>G128+2652.58</f>
        <v>79742.12</v>
      </c>
      <c r="H129" s="83">
        <f>H128+72661.64</f>
        <v>567145.39</v>
      </c>
      <c r="I129" s="83">
        <f>I128+4018.8</f>
        <v>90523.31999999999</v>
      </c>
      <c r="J129" s="83">
        <f>J128+102973.34</f>
        <v>660594.6699999999</v>
      </c>
      <c r="K129" s="83">
        <f t="shared" si="22"/>
        <v>751117.9899999999</v>
      </c>
      <c r="L129" s="83">
        <f t="shared" si="23"/>
        <v>10781.199999999997</v>
      </c>
      <c r="M129" s="83">
        <f t="shared" si="23"/>
        <v>93449.27999999991</v>
      </c>
      <c r="N129" s="55"/>
      <c r="O129" s="55"/>
      <c r="P129" s="86"/>
      <c r="Q129" s="33"/>
      <c r="R129" s="33"/>
      <c r="S129" s="180"/>
      <c r="T129" s="15"/>
      <c r="U129" s="15"/>
    </row>
    <row r="130" spans="1:21" ht="15.75" thickBot="1">
      <c r="A130" s="159"/>
      <c r="B130" s="159"/>
      <c r="C130" s="75" t="s">
        <v>42</v>
      </c>
      <c r="D130" s="19" t="s">
        <v>80</v>
      </c>
      <c r="E130" s="76">
        <v>65</v>
      </c>
      <c r="F130" s="85">
        <v>3.11</v>
      </c>
      <c r="G130" s="72">
        <v>118.31</v>
      </c>
      <c r="H130" s="72">
        <v>1521.6</v>
      </c>
      <c r="I130" s="72">
        <v>202.15</v>
      </c>
      <c r="J130" s="72">
        <v>2600</v>
      </c>
      <c r="K130" s="72">
        <f t="shared" si="22"/>
        <v>2802.15</v>
      </c>
      <c r="L130" s="72">
        <f t="shared" si="23"/>
        <v>83.84</v>
      </c>
      <c r="M130" s="72">
        <f t="shared" si="23"/>
        <v>1078.4</v>
      </c>
      <c r="N130" s="55"/>
      <c r="O130" s="55"/>
      <c r="P130" s="86"/>
      <c r="Q130" s="25"/>
      <c r="R130" s="25"/>
      <c r="S130" s="180"/>
      <c r="T130" s="3"/>
      <c r="U130" s="3"/>
    </row>
    <row r="131" spans="1:21" ht="14.25" customHeight="1" thickBot="1">
      <c r="A131" s="159"/>
      <c r="B131" s="159"/>
      <c r="C131" s="132" t="s">
        <v>42</v>
      </c>
      <c r="D131" s="91" t="s">
        <v>46</v>
      </c>
      <c r="E131" s="92">
        <f>52.92+33.02+71.06+169.88+E130</f>
        <v>391.88</v>
      </c>
      <c r="F131" s="93">
        <v>3.11</v>
      </c>
      <c r="G131" s="94">
        <f>74.33+61.39+173.79+234+G130</f>
        <v>661.8199999999999</v>
      </c>
      <c r="H131" s="72">
        <f>1075.5+888.3+2514.6+3385.8+H130</f>
        <v>9385.8</v>
      </c>
      <c r="I131" s="94">
        <f>164.58+102.69+221+528.33+I130</f>
        <v>1218.75</v>
      </c>
      <c r="J131" s="72">
        <f>2381.4+1485.9+3197.7+7644.6+J130</f>
        <v>17309.6</v>
      </c>
      <c r="K131" s="72">
        <f t="shared" si="22"/>
        <v>18528.35</v>
      </c>
      <c r="L131" s="94">
        <f t="shared" si="23"/>
        <v>556.9300000000001</v>
      </c>
      <c r="M131" s="72">
        <f t="shared" si="23"/>
        <v>7923.799999999999</v>
      </c>
      <c r="N131" s="95"/>
      <c r="O131" s="95"/>
      <c r="P131" s="96"/>
      <c r="Q131" s="97"/>
      <c r="R131" s="97"/>
      <c r="S131" s="180"/>
      <c r="T131" s="3"/>
      <c r="U131" s="3"/>
    </row>
    <row r="132" spans="1:22" s="16" customFormat="1" ht="26.25" customHeight="1" thickBot="1">
      <c r="A132" s="159"/>
      <c r="B132" s="160"/>
      <c r="C132" s="59" t="s">
        <v>42</v>
      </c>
      <c r="D132" s="131" t="s">
        <v>78</v>
      </c>
      <c r="E132" s="92">
        <f>976.16+E131</f>
        <v>1368.04</v>
      </c>
      <c r="F132" s="124">
        <v>3.11</v>
      </c>
      <c r="G132" s="94">
        <f>3045.19+G131</f>
        <v>3707.01</v>
      </c>
      <c r="H132" s="122">
        <f>55812.12+H131</f>
        <v>65197.92</v>
      </c>
      <c r="I132" s="126">
        <f>3045.19+I131</f>
        <v>4263.9400000000005</v>
      </c>
      <c r="J132" s="127">
        <f>55812.12+J131</f>
        <v>73121.72</v>
      </c>
      <c r="K132" s="128">
        <f t="shared" si="22"/>
        <v>77385.66</v>
      </c>
      <c r="L132" s="127">
        <f t="shared" si="23"/>
        <v>556.9300000000003</v>
      </c>
      <c r="M132" s="123">
        <f t="shared" si="23"/>
        <v>7923.800000000003</v>
      </c>
      <c r="N132" s="95"/>
      <c r="O132" s="129"/>
      <c r="P132" s="96"/>
      <c r="Q132" s="130"/>
      <c r="R132" s="130"/>
      <c r="S132" s="147"/>
      <c r="T132" s="139"/>
      <c r="U132" s="140"/>
      <c r="V132" s="142"/>
    </row>
    <row r="133" spans="1:21" ht="15.75" thickBot="1">
      <c r="A133" s="141"/>
      <c r="B133" s="161"/>
      <c r="C133" s="133" t="s">
        <v>42</v>
      </c>
      <c r="D133" s="37" t="s">
        <v>81</v>
      </c>
      <c r="E133" s="148">
        <f>E132+464.26</f>
        <v>1832.3</v>
      </c>
      <c r="F133" s="150">
        <v>3.11</v>
      </c>
      <c r="G133" s="83">
        <f>G132+1160.23</f>
        <v>4867.24</v>
      </c>
      <c r="H133" s="83">
        <f>H132+30012.42</f>
        <v>95210.34</v>
      </c>
      <c r="I133" s="83">
        <f>I132+1443.85</f>
        <v>5707.790000000001</v>
      </c>
      <c r="J133" s="83">
        <f>J132+36305.22</f>
        <v>109426.94</v>
      </c>
      <c r="K133" s="83">
        <f t="shared" si="22"/>
        <v>115134.73000000001</v>
      </c>
      <c r="L133" s="151">
        <f t="shared" si="23"/>
        <v>840.5500000000011</v>
      </c>
      <c r="M133" s="83">
        <f t="shared" si="23"/>
        <v>14216.600000000006</v>
      </c>
      <c r="N133" s="138"/>
      <c r="O133" s="55"/>
      <c r="P133" s="86"/>
      <c r="Q133" s="25"/>
      <c r="R133" s="25"/>
      <c r="S133" s="146"/>
      <c r="T133" s="3"/>
      <c r="U133" s="3"/>
    </row>
    <row r="134" spans="1:21" ht="15">
      <c r="A134" s="98"/>
      <c r="B134" s="105"/>
      <c r="C134" s="106"/>
      <c r="D134" s="107"/>
      <c r="E134" s="99"/>
      <c r="F134" s="100"/>
      <c r="G134" s="101"/>
      <c r="H134" s="101"/>
      <c r="I134" s="101"/>
      <c r="J134" s="101"/>
      <c r="K134" s="101"/>
      <c r="L134" s="101"/>
      <c r="M134" s="101"/>
      <c r="N134" s="102"/>
      <c r="O134" s="102"/>
      <c r="P134" s="103"/>
      <c r="Q134" s="104"/>
      <c r="R134" s="104"/>
      <c r="S134" s="9"/>
      <c r="T134" s="3"/>
      <c r="U134" s="3"/>
    </row>
    <row r="135" spans="1:21" ht="15">
      <c r="A135" s="98"/>
      <c r="B135" s="105"/>
      <c r="C135" s="106"/>
      <c r="D135" s="107"/>
      <c r="E135" s="99"/>
      <c r="F135" s="100"/>
      <c r="G135" s="101"/>
      <c r="H135" s="101"/>
      <c r="I135" s="101"/>
      <c r="J135" s="101"/>
      <c r="K135" s="101"/>
      <c r="L135" s="101"/>
      <c r="M135" s="101"/>
      <c r="N135" s="102"/>
      <c r="O135" s="102"/>
      <c r="P135" s="103"/>
      <c r="Q135" s="104"/>
      <c r="R135" s="104"/>
      <c r="S135" s="9"/>
      <c r="T135" s="3"/>
      <c r="U135" s="3"/>
    </row>
    <row r="136" spans="1:21" ht="15">
      <c r="A136" s="98"/>
      <c r="B136" s="108"/>
      <c r="C136" s="106"/>
      <c r="D136" s="107"/>
      <c r="E136" s="109"/>
      <c r="F136" s="110"/>
      <c r="G136" s="110"/>
      <c r="H136" s="110"/>
      <c r="I136" s="111"/>
      <c r="J136" s="111"/>
      <c r="K136" s="111"/>
      <c r="L136" s="110"/>
      <c r="M136" s="110"/>
      <c r="N136" s="102"/>
      <c r="O136" s="112"/>
      <c r="P136" s="106"/>
      <c r="Q136" s="113"/>
      <c r="R136" s="113"/>
      <c r="S136" s="4"/>
      <c r="T136" s="3"/>
      <c r="U136" s="3"/>
    </row>
    <row r="137" spans="1:19" ht="15">
      <c r="A137" s="114" t="s">
        <v>72</v>
      </c>
      <c r="B137" s="115"/>
      <c r="C137" s="115"/>
      <c r="D137" s="115"/>
      <c r="E137" s="115"/>
      <c r="F137" s="115"/>
      <c r="G137" s="115"/>
      <c r="H137" s="115"/>
      <c r="I137" s="115"/>
      <c r="J137" s="115"/>
      <c r="K137" s="115"/>
      <c r="L137" s="115"/>
      <c r="M137" s="115"/>
      <c r="N137" s="115"/>
      <c r="O137" s="115"/>
      <c r="P137" s="115"/>
      <c r="Q137" s="116"/>
      <c r="R137" s="116"/>
      <c r="S137" s="7"/>
    </row>
    <row r="138" spans="1:19" ht="29.25" customHeight="1">
      <c r="A138" s="154" t="s">
        <v>41</v>
      </c>
      <c r="B138" s="154"/>
      <c r="C138" s="154"/>
      <c r="D138" s="154"/>
      <c r="E138" s="154"/>
      <c r="F138" s="154"/>
      <c r="G138" s="154"/>
      <c r="H138" s="154"/>
      <c r="I138" s="154"/>
      <c r="J138" s="154"/>
      <c r="K138" s="117"/>
      <c r="L138" s="117"/>
      <c r="M138" s="115"/>
      <c r="N138" s="115"/>
      <c r="O138" s="115"/>
      <c r="P138" s="115"/>
      <c r="Q138" s="116"/>
      <c r="R138" s="116"/>
      <c r="S138" s="7"/>
    </row>
    <row r="139" spans="1:19" ht="17.25" customHeight="1">
      <c r="A139" s="154" t="s">
        <v>76</v>
      </c>
      <c r="B139" s="154"/>
      <c r="C139" s="154"/>
      <c r="D139" s="154"/>
      <c r="E139" s="154"/>
      <c r="F139" s="154"/>
      <c r="G139" s="154"/>
      <c r="H139" s="154"/>
      <c r="I139" s="154"/>
      <c r="J139" s="154"/>
      <c r="K139" s="117"/>
      <c r="L139" s="117"/>
      <c r="M139" s="115"/>
      <c r="N139" s="115"/>
      <c r="O139" s="115"/>
      <c r="P139" s="115"/>
      <c r="Q139" s="116"/>
      <c r="R139" s="116"/>
      <c r="S139" s="7"/>
    </row>
    <row r="140" spans="1:19" ht="27.75" customHeight="1">
      <c r="A140" s="153" t="s">
        <v>75</v>
      </c>
      <c r="B140" s="153"/>
      <c r="C140" s="153"/>
      <c r="D140" s="153"/>
      <c r="E140" s="153"/>
      <c r="F140" s="153"/>
      <c r="G140" s="153"/>
      <c r="H140" s="153"/>
      <c r="I140" s="153"/>
      <c r="J140" s="153"/>
      <c r="K140" s="117"/>
      <c r="L140" s="118"/>
      <c r="M140" s="115"/>
      <c r="N140" s="115"/>
      <c r="O140" s="115"/>
      <c r="P140" s="115"/>
      <c r="Q140" s="116"/>
      <c r="R140" s="116"/>
      <c r="S140" s="7"/>
    </row>
    <row r="141" spans="1:19" ht="32.25" customHeight="1">
      <c r="A141" s="153" t="s">
        <v>74</v>
      </c>
      <c r="B141" s="153"/>
      <c r="C141" s="153"/>
      <c r="D141" s="153"/>
      <c r="E141" s="153"/>
      <c r="F141" s="153"/>
      <c r="G141" s="153"/>
      <c r="H141" s="153"/>
      <c r="I141" s="153"/>
      <c r="J141" s="153"/>
      <c r="K141" s="119"/>
      <c r="L141" s="119"/>
      <c r="M141" s="115"/>
      <c r="N141" s="115"/>
      <c r="O141" s="115"/>
      <c r="P141" s="115"/>
      <c r="Q141" s="116"/>
      <c r="R141" s="116"/>
      <c r="S141" s="7"/>
    </row>
    <row r="142" spans="1:19" ht="12.75" customHeight="1">
      <c r="A142" s="190" t="s">
        <v>73</v>
      </c>
      <c r="B142" s="190"/>
      <c r="C142" s="190"/>
      <c r="D142" s="190"/>
      <c r="E142" s="190"/>
      <c r="F142" s="190"/>
      <c r="G142" s="190"/>
      <c r="H142" s="190"/>
      <c r="I142" s="190"/>
      <c r="J142" s="190"/>
      <c r="K142" s="119"/>
      <c r="L142" s="119"/>
      <c r="M142" s="115"/>
      <c r="N142" s="115"/>
      <c r="O142" s="115"/>
      <c r="P142" s="115"/>
      <c r="Q142" s="116"/>
      <c r="R142" s="116"/>
      <c r="S142" s="7"/>
    </row>
    <row r="143" spans="1:19" ht="15">
      <c r="A143" s="190" t="s">
        <v>85</v>
      </c>
      <c r="B143" s="190"/>
      <c r="C143" s="190"/>
      <c r="D143" s="190"/>
      <c r="E143" s="190"/>
      <c r="F143" s="190"/>
      <c r="G143" s="190"/>
      <c r="H143" s="190"/>
      <c r="I143" s="190"/>
      <c r="J143" s="190"/>
      <c r="K143" s="116"/>
      <c r="L143" s="116"/>
      <c r="M143" s="116"/>
      <c r="N143" s="116"/>
      <c r="O143" s="116"/>
      <c r="P143" s="116"/>
      <c r="Q143" s="116"/>
      <c r="R143" s="116"/>
      <c r="S143" s="8"/>
    </row>
    <row r="144" spans="1:19" ht="12.75">
      <c r="A144" s="8"/>
      <c r="B144" s="8"/>
      <c r="C144" s="8"/>
      <c r="D144" s="8"/>
      <c r="E144" s="8"/>
      <c r="F144" s="8"/>
      <c r="G144" s="8"/>
      <c r="H144" s="10"/>
      <c r="I144" s="10"/>
      <c r="J144" s="11"/>
      <c r="K144" s="10"/>
      <c r="L144" s="8"/>
      <c r="M144" s="8"/>
      <c r="O144" s="8"/>
      <c r="P144" s="8"/>
      <c r="Q144" s="8"/>
      <c r="R144" s="8"/>
      <c r="S144" s="8"/>
    </row>
  </sheetData>
  <sheetProtection/>
  <mergeCells count="43">
    <mergeCell ref="A143:J143"/>
    <mergeCell ref="C18:C23"/>
    <mergeCell ref="C4:C11"/>
    <mergeCell ref="D2:E2"/>
    <mergeCell ref="G2:G3"/>
    <mergeCell ref="A2:A3"/>
    <mergeCell ref="A4:A16"/>
    <mergeCell ref="A18:A50"/>
    <mergeCell ref="S87:S131"/>
    <mergeCell ref="S52:S85"/>
    <mergeCell ref="O44:O46"/>
    <mergeCell ref="O103:O104"/>
    <mergeCell ref="O67:O70"/>
    <mergeCell ref="A142:J142"/>
    <mergeCell ref="B18:B50"/>
    <mergeCell ref="O105:O106"/>
    <mergeCell ref="O91:O92"/>
    <mergeCell ref="S18:S46"/>
    <mergeCell ref="S2:S3"/>
    <mergeCell ref="L2:L3"/>
    <mergeCell ref="P2:P3"/>
    <mergeCell ref="M2:M3"/>
    <mergeCell ref="N2:N3"/>
    <mergeCell ref="B4:B16"/>
    <mergeCell ref="O2:O3"/>
    <mergeCell ref="A1:S1"/>
    <mergeCell ref="Q2:Q3"/>
    <mergeCell ref="R2:R3"/>
    <mergeCell ref="C2:C3"/>
    <mergeCell ref="J2:J3"/>
    <mergeCell ref="K2:K3"/>
    <mergeCell ref="I2:I3"/>
    <mergeCell ref="B2:B3"/>
    <mergeCell ref="H2:H3"/>
    <mergeCell ref="F2:F3"/>
    <mergeCell ref="A141:J141"/>
    <mergeCell ref="A139:J139"/>
    <mergeCell ref="A140:J140"/>
    <mergeCell ref="A52:A85"/>
    <mergeCell ref="B52:B85"/>
    <mergeCell ref="A138:J138"/>
    <mergeCell ref="B87:B133"/>
    <mergeCell ref="A87:A132"/>
  </mergeCells>
  <printOptions/>
  <pageMargins left="0.1968503937007874" right="0.1968503937007874" top="0.3937007874015748" bottom="0.3937007874015748" header="0" footer="0"/>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2020-07-20T07:44:23Z</cp:lastPrinted>
  <dcterms:created xsi:type="dcterms:W3CDTF">2014-03-20T13:05:14Z</dcterms:created>
  <dcterms:modified xsi:type="dcterms:W3CDTF">2020-07-20T07:52:16Z</dcterms:modified>
  <cp:category/>
  <cp:version/>
  <cp:contentType/>
  <cp:contentStatus/>
</cp:coreProperties>
</file>